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утний капітал" sheetId="7" r:id="rId7"/>
  </sheets>
  <definedNames/>
  <calcPr fullCalcOnLoad="1"/>
</workbook>
</file>

<file path=xl/comments4.xml><?xml version="1.0" encoding="utf-8"?>
<comments xmlns="http://schemas.openxmlformats.org/spreadsheetml/2006/main">
  <authors>
    <author>Оксана</author>
  </authors>
  <commentList>
    <comment ref="E22" authorId="0">
      <text>
        <r>
          <rPr>
            <b/>
            <sz val="9"/>
            <rFont val="Tahoma"/>
            <family val="2"/>
          </rPr>
          <t>Оксана:</t>
        </r>
        <r>
          <rPr>
            <sz val="9"/>
            <rFont val="Tahoma"/>
            <family val="2"/>
          </rPr>
          <t xml:space="preserve">
15 тис.поверн суд зборів, 15 тис незясов платежі</t>
        </r>
      </text>
    </comment>
  </commentList>
</comments>
</file>

<file path=xl/comments6.xml><?xml version="1.0" encoding="utf-8"?>
<comments xmlns="http://schemas.openxmlformats.org/spreadsheetml/2006/main">
  <authors>
    <author>Lion</author>
  </authors>
  <commentList>
    <comment ref="C11" authorId="0">
      <text>
        <r>
          <rPr>
            <b/>
            <sz val="9"/>
            <rFont val="Tahoma"/>
            <family val="2"/>
          </rPr>
          <t>Lion:</t>
        </r>
        <r>
          <rPr>
            <sz val="9"/>
            <rFont val="Tahoma"/>
            <family val="2"/>
          </rPr>
          <t xml:space="preserve">
в т.ч. 65,4 тис.грн премія + 64,5 тис.грн премія за бюдж.кошти</t>
        </r>
      </text>
    </comment>
    <comment ref="E11" authorId="0">
      <text>
        <r>
          <rPr>
            <b/>
            <sz val="9"/>
            <rFont val="Tahoma"/>
            <family val="2"/>
          </rPr>
          <t>Lion:</t>
        </r>
        <r>
          <rPr>
            <sz val="9"/>
            <rFont val="Tahoma"/>
            <family val="2"/>
          </rPr>
          <t xml:space="preserve">
в т.ч. однор.премія -29001,42 грн; мат.доп. на озд. - 34545,00 грн та комп.при звільн. - 77530,95 грн</t>
        </r>
      </text>
    </comment>
  </commentList>
</comments>
</file>

<file path=xl/sharedStrings.xml><?xml version="1.0" encoding="utf-8"?>
<sst xmlns="http://schemas.openxmlformats.org/spreadsheetml/2006/main" count="408" uniqueCount="325">
  <si>
    <t>I. Формування фінансових результатів</t>
  </si>
  <si>
    <t>Найменування показника</t>
  </si>
  <si>
    <t xml:space="preserve">Код рядка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</si>
  <si>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</si>
  <si>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</si>
  <si>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</si>
  <si>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</si>
  <si>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</si>
  <si>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</si>
  <si>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</si>
  <si>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</si>
  <si>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</si>
  <si>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</si>
  <si>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</si>
  <si>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витрати, пов'язані з використанням власних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</si>
  <si>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</si>
  <si>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</si>
  <si>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</si>
  <si>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</si>
  <si>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</si>
  <si>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</si>
  <si>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</si>
  <si>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</si>
  <si>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</si>
  <si>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</si>
  <si>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</si>
  <si>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</si>
  <si>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</si>
  <si>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</si>
  <si>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</si>
  <si>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</si>
  <si>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</si>
  <si>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</si>
  <si>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</si>
  <si>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</si>
  <si>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</si>
  <si>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</si>
  <si>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</si>
  <si>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</si>
  <si>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</si>
  <si>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</si>
  <si>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</si>
  <si>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</si>
  <si>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</si>
  <si>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</si>
  <si>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</si>
  <si>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</si>
  <si>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</si>
  <si>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</si>
  <si>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</si>
  <si>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</si>
  <si>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</si>
  <si>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</si>
  <si>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</si>
  <si>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</si>
  <si>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</si>
  <si>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</si>
  <si>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</si>
  <si>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</si>
  <si>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</si>
  <si>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</si>
  <si>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</si>
  <si>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</si>
  <si>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</si>
  <si>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</si>
  <si>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</si>
  <si>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</si>
  <si>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</si>
  <si>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</si>
  <si>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</si>
  <si>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</si>
  <si>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</si>
  <si>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</si>
  <si>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</si>
  <si>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</si>
  <si>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</si>
  <si>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</si>
  <si>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</si>
  <si>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</si>
  <si>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</si>
  <si>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</si>
  <si>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</si>
  <si>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</si>
  <si>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</si>
  <si>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</si>
  <si>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</si>
  <si>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</si>
  <si>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</si>
  <si>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</si>
  <si>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</si>
  <si>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</si>
  <si>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</si>
  <si>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</si>
  <si>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</si>
  <si>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</si>
  <si>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</si>
  <si>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</si>
  <si>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</si>
  <si>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</si>
  <si>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</si>
  <si>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</si>
  <si>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</si>
  <si>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</si>
  <si>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</si>
  <si>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</si>
  <si>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</si>
  <si>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</si>
  <si>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</si>
  <si>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</si>
  <si>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</si>
  <si>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</si>
  <si>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</si>
  <si>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</si>
  <si>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</si>
  <si>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</si>
  <si>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</si>
  <si>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</si>
  <si>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</si>
  <si>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</si>
  <si>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</si>
  <si>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</si>
  <si>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</si>
  <si>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</si>
  <si>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</si>
  <si>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</si>
  <si>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</si>
  <si>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</si>
  <si>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</si>
  <si>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</si>
  <si>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</si>
  <si>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</si>
  <si>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</si>
  <si>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</si>
  <si>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</si>
  <si>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</si>
  <si>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>Елементи операційних витрат</t>
  </si>
  <si>
    <t>Амортизація</t>
  </si>
  <si>
    <t>Інші операційні витрати</t>
  </si>
  <si>
    <t>Усього</t>
  </si>
  <si>
    <t>3144/1</t>
  </si>
  <si>
    <t>Комунальне підприємство</t>
  </si>
  <si>
    <t>93.29</t>
  </si>
  <si>
    <t>Комунальна</t>
  </si>
  <si>
    <t xml:space="preserve">Головний бухгалтер </t>
  </si>
  <si>
    <t>2116/1</t>
  </si>
  <si>
    <t>Адміністративні витрати, у т. ч.:</t>
  </si>
  <si>
    <t>Інші операційні  доходи (розшифрувати)</t>
  </si>
  <si>
    <t>Матеріальні витрати, у т. ч.:</t>
  </si>
  <si>
    <t>амортизація основних засобів і нематеріальних активів загально-господарського призначення</t>
  </si>
  <si>
    <t>Інші податки, збори та платежі на користь держави, усього, у т. ч.:</t>
  </si>
  <si>
    <t>Сплата податків та зборів до Державного бюджету України (податкові платежі), усього, у т.ч.:</t>
  </si>
  <si>
    <t>Нараховані до сплати відрахування частини чистого прибутку усього, у т.ч.:</t>
  </si>
  <si>
    <t>ЗАТВЕРДЖЕНО</t>
  </si>
  <si>
    <t>81.10</t>
  </si>
  <si>
    <t>начальник</t>
  </si>
  <si>
    <t>Цільове фінансування</t>
  </si>
  <si>
    <t>Екологічний податок</t>
  </si>
  <si>
    <t>Податок на воду</t>
  </si>
  <si>
    <t>нар.частини чист.приб.</t>
  </si>
  <si>
    <t>ком.послуги</t>
  </si>
  <si>
    <t>преса та оголошення</t>
  </si>
  <si>
    <t>сировина і матеріали</t>
  </si>
  <si>
    <t>дохід від реал.обор.актив.</t>
  </si>
  <si>
    <t>інші фінансові доходи</t>
  </si>
  <si>
    <t>1070/5</t>
  </si>
  <si>
    <t>частина чистого прибутку</t>
  </si>
  <si>
    <t>1070/1</t>
  </si>
  <si>
    <t>1070/2</t>
  </si>
  <si>
    <t>1070/3</t>
  </si>
  <si>
    <t>1070/4</t>
  </si>
  <si>
    <t>1070/6</t>
  </si>
  <si>
    <t>Інші доходи (амортизація)</t>
  </si>
  <si>
    <t>Інші витрати (амортизація)</t>
  </si>
  <si>
    <t>Поточний ремонт покрівлі, герметизації стиків</t>
  </si>
  <si>
    <t>Вивезення та захоронення сміття</t>
  </si>
  <si>
    <t>Загальновиробничі витрати</t>
  </si>
  <si>
    <t>Обслуговування ліфтів</t>
  </si>
  <si>
    <t>інформаційно-консультативні послуги, облс.ПК</t>
  </si>
  <si>
    <t>Начальник КП НМР "ЖКО"</t>
  </si>
  <si>
    <t>Від операційної оренди</t>
  </si>
  <si>
    <t>1080/1</t>
  </si>
  <si>
    <t>1080/2</t>
  </si>
  <si>
    <t>1080/3</t>
  </si>
  <si>
    <t>1080/4</t>
  </si>
  <si>
    <t>1080/5</t>
  </si>
  <si>
    <t>адміністративні штрафи</t>
  </si>
  <si>
    <t>Надходження від отримання субсидій та дотацій</t>
  </si>
  <si>
    <t>м.Нетішин, пр-т Незалежності, 31</t>
  </si>
  <si>
    <t>V. Дані про персонал та витрати на оплату праці</t>
  </si>
  <si>
    <t>елек.енергія населення</t>
  </si>
  <si>
    <t>електроенергія населення</t>
  </si>
  <si>
    <r>
      <t>Комунальне підприємство Нетішинської міської ради "Житлово-комунальне об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єднання"</t>
    </r>
  </si>
  <si>
    <t>9-14-89, 9-13-32</t>
  </si>
  <si>
    <t>Від пені, штрафи, неустойки</t>
  </si>
  <si>
    <t>Податок на землю</t>
  </si>
  <si>
    <t>інші витрати</t>
  </si>
  <si>
    <t>пені, штрафи, неустойки</t>
  </si>
  <si>
    <t>відрахування 0,3%</t>
  </si>
  <si>
    <t>Інші операційні витрати (розшифрувати)</t>
  </si>
  <si>
    <t>електроенергія</t>
  </si>
  <si>
    <t>послуги банківсього обслуговування</t>
  </si>
  <si>
    <t>Витрати на утримання основних фондів, інших необоротних активів загальногосподарського використання,  у тому числі:</t>
  </si>
  <si>
    <t>пожежна охорона</t>
  </si>
  <si>
    <t xml:space="preserve">Витрати на паливо та енергію </t>
  </si>
  <si>
    <t>витрати на оренду службових автомобілів</t>
  </si>
  <si>
    <t>внески на утримання адм.буд</t>
  </si>
  <si>
    <t>адм.та судові збори</t>
  </si>
  <si>
    <t>капітальний ремонт ліфтів</t>
  </si>
  <si>
    <t>собівартість реаліз.вироб.запасів</t>
  </si>
  <si>
    <t>кап.ремонт ліфтів</t>
  </si>
  <si>
    <t>1080/6</t>
  </si>
  <si>
    <t>військовий збір</t>
  </si>
  <si>
    <t>Надходження від ФСС</t>
  </si>
  <si>
    <t>Борг перед ХАЕС зг.ріш.суду</t>
  </si>
  <si>
    <t>Банківське обслуг.</t>
  </si>
  <si>
    <t>матер.та послуг прид.за бюд.кошти</t>
  </si>
  <si>
    <t>1070/7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</si>
  <si>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</si>
  <si>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</si>
  <si>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</si>
  <si>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</si>
  <si>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</si>
  <si>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</si>
  <si>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</si>
  <si>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>витрати на підвищення кваліфікації та перепідготовку кадрів (навчання працівників)</t>
  </si>
  <si>
    <t>1051/1</t>
  </si>
  <si>
    <t>1051/2</t>
  </si>
  <si>
    <t>1051/3</t>
  </si>
  <si>
    <t>1051/4</t>
  </si>
  <si>
    <t>1051/5</t>
  </si>
  <si>
    <t>1051/6</t>
  </si>
  <si>
    <t>1051/7</t>
  </si>
  <si>
    <t>1051/8</t>
  </si>
  <si>
    <t>1051/9</t>
  </si>
  <si>
    <t>2124/1</t>
  </si>
  <si>
    <t>2124/2</t>
  </si>
  <si>
    <t>2124/3</t>
  </si>
  <si>
    <t>2124/4</t>
  </si>
  <si>
    <t>2124/5</t>
  </si>
  <si>
    <t>2124/6</t>
  </si>
  <si>
    <t>3060/1</t>
  </si>
  <si>
    <t>3060/2</t>
  </si>
  <si>
    <t>3060/3</t>
  </si>
  <si>
    <t>3060/4</t>
  </si>
  <si>
    <t>3144/2</t>
  </si>
  <si>
    <t>3150/1</t>
  </si>
  <si>
    <t>3150/2</t>
  </si>
  <si>
    <t>3170/1</t>
  </si>
  <si>
    <t>3170/2</t>
  </si>
  <si>
    <t>3170/3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</si>
  <si>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</si>
  <si>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1016/1</t>
  </si>
  <si>
    <t>1016/2</t>
  </si>
  <si>
    <t>Інші витрати(розшифрувати)</t>
  </si>
  <si>
    <t>Повернення оплат від продавців</t>
  </si>
  <si>
    <t>ЄСВ</t>
  </si>
  <si>
    <t>обст.констр., визн.тех.стану і т.п., експ.оцінка адмін прим.</t>
  </si>
  <si>
    <t>1051/10</t>
  </si>
  <si>
    <t>1080/8</t>
  </si>
  <si>
    <t>Поповнення статутного капіталу</t>
  </si>
  <si>
    <t>Повернення суд.зборів та ін.</t>
  </si>
  <si>
    <t>3060/5</t>
  </si>
  <si>
    <t>3060/6</t>
  </si>
  <si>
    <t>3170/4</t>
  </si>
  <si>
    <t>VІ. Розподіл коштів, отриманих з  бюджету МТГ на поповнення 
статутного капіталу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</si>
  <si>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</si>
  <si>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</si>
  <si>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</si>
  <si>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</si>
  <si>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Витрачання на оплату повернення авансів</t>
  </si>
  <si>
    <t>придбання на оновлення необоротних активів (розшифрувати)</t>
  </si>
  <si>
    <t xml:space="preserve">Розрахунки з оплати праці </t>
  </si>
  <si>
    <t>3120/1</t>
  </si>
  <si>
    <t>3120/2</t>
  </si>
  <si>
    <t>Фонд оплати праці</t>
  </si>
  <si>
    <t>6020/1</t>
  </si>
  <si>
    <t>для розрахунку з кредитором (ВП ХАЕС)</t>
  </si>
  <si>
    <t>відхилення,  +/–</t>
  </si>
  <si>
    <t>виконання, %</t>
  </si>
  <si>
    <t>ЗВІТ</t>
  </si>
  <si>
    <t>ПРО ВИКОНАННЯ ФІНАНСОВОГО ПЛАНУ ПІДПРИЄМСТВА</t>
  </si>
  <si>
    <t>(квартал, рік)</t>
  </si>
  <si>
    <t>ІI. Розрахунки з бюджетом</t>
  </si>
  <si>
    <t>Повернення заробітної плати</t>
  </si>
  <si>
    <t>3060/7</t>
  </si>
  <si>
    <t>IV. Капітальні інвестиції</t>
  </si>
  <si>
    <t>план</t>
  </si>
  <si>
    <t>факт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</si>
  <si>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тому числі:</t>
  </si>
  <si>
    <t>______________________ Оксана ЗОЩУК</t>
  </si>
  <si>
    <t>Таблиця 6</t>
  </si>
  <si>
    <t>__________________________________</t>
  </si>
  <si>
    <t>ЗВІТ ПРО ВИКОНАННЯ ФІНАНСОВОГО ПЛАНУ</t>
  </si>
  <si>
    <t>Факт минулого року 2022</t>
  </si>
  <si>
    <t>______________________ Дар'я БРОВКО</t>
  </si>
  <si>
    <t>План 2023 рік</t>
  </si>
  <si>
    <t>Факт 2023 рік</t>
  </si>
  <si>
    <t>реконструкція електромереж і систем обліку спожитої електроенергії гуртожитків</t>
  </si>
  <si>
    <t>3265/1</t>
  </si>
  <si>
    <t>проведення капітального ремонту внутрішніх інженерних мереж водопостачання, водовідведення будівель гуртожитків</t>
  </si>
  <si>
    <t>3265/2</t>
  </si>
  <si>
    <t>проведення капітальних ремонтів та модернізація ліфтів у будівлях гуртожитків</t>
  </si>
  <si>
    <t>3265/3</t>
  </si>
  <si>
    <t xml:space="preserve"> ЗА 2023 рік</t>
  </si>
  <si>
    <t>користування нерух.майном(водогони)</t>
  </si>
  <si>
    <t>1070/8</t>
  </si>
  <si>
    <t>тех.обслуг.водопровідних мереж.садиб.забудови</t>
  </si>
  <si>
    <t>1080/7</t>
  </si>
  <si>
    <t>Дар'я БРОВКО</t>
  </si>
  <si>
    <t>Інші (комун.посл., тех.обслуговування, дератизація, дезинсекція та ін.)</t>
  </si>
  <si>
    <t>пені неуст.відсотки банку, поверн.суд.зборів</t>
  </si>
  <si>
    <t>Факт 2023рік</t>
  </si>
  <si>
    <t>(4940)</t>
  </si>
  <si>
    <t>(2127)</t>
  </si>
  <si>
    <t>-</t>
  </si>
  <si>
    <t>3150/3</t>
  </si>
  <si>
    <t>3810</t>
  </si>
  <si>
    <t>(7760)</t>
  </si>
  <si>
    <t>інше (відновлення видатків використаних на забезпечення функціонування природної вентиляції у нежитловому приміщенні захисної споруди)</t>
  </si>
  <si>
    <t>6020/2</t>
  </si>
  <si>
    <t>Орендна плата до бюджету</t>
  </si>
  <si>
    <t>Орендна плата за розташування рекламного засобу</t>
  </si>
  <si>
    <t>3150/4</t>
  </si>
  <si>
    <t>Інші витрати (аліменти, проф.внески, суд.та адмін.збори, відрядні та ін.)</t>
  </si>
  <si>
    <t xml:space="preserve">за ЄДРПОУ 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</si>
</sst>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0.0"/>
    <numFmt numFmtId="178" formatCode="_(* #,##0_);_(* \(#,##0\);_(* &quot;-&quot;??_);_(@_)"/>
    <numFmt numFmtId="179" formatCode="_(* #,##0.0_);_(* \(#,##0.0\);_(* &quot;-&quot;_);_(@_)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1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" fillId="0" borderId="0">
      <alignment/>
      <protection/>
    </xf>
    <xf numFmtId="0" fontId="12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 quotePrefix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4" fillId="0" borderId="18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4" fillId="32" borderId="19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20" xfId="53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horizontal="center" vertical="center"/>
    </xf>
    <xf numFmtId="0" fontId="9" fillId="32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 quotePrefix="1">
      <alignment horizontal="left" vertic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32" borderId="10" xfId="0" applyFont="1" applyFill="1" applyBorder="1" applyAlignment="1">
      <alignment horizontal="center" vertical="center" wrapText="1" shrinkToFit="1"/>
    </xf>
    <xf numFmtId="0" fontId="9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9" fontId="2" fillId="32" borderId="0" xfId="0" applyNumberFormat="1" applyFont="1" applyFill="1" applyAlignment="1">
      <alignment horizontal="center" vertical="center"/>
    </xf>
    <xf numFmtId="179" fontId="3" fillId="32" borderId="10" xfId="0" applyNumberFormat="1" applyFont="1" applyFill="1" applyBorder="1" applyAlignment="1">
      <alignment horizontal="right" vertical="center" wrapText="1"/>
    </xf>
    <xf numFmtId="173" fontId="69" fillId="32" borderId="10" xfId="0" applyNumberFormat="1" applyFont="1" applyFill="1" applyBorder="1" applyAlignment="1">
      <alignment horizontal="right"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173" fontId="69" fillId="0" borderId="10" xfId="0" applyNumberFormat="1" applyFont="1" applyFill="1" applyBorder="1" applyAlignment="1">
      <alignment horizontal="right" vertical="center" wrapText="1"/>
    </xf>
    <xf numFmtId="173" fontId="3" fillId="32" borderId="10" xfId="0" applyNumberFormat="1" applyFont="1" applyFill="1" applyBorder="1" applyAlignment="1">
      <alignment horizontal="right" vertical="center" wrapText="1"/>
    </xf>
    <xf numFmtId="173" fontId="69" fillId="33" borderId="10" xfId="0" applyNumberFormat="1" applyFont="1" applyFill="1" applyBorder="1" applyAlignment="1">
      <alignment horizontal="right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3" fillId="32" borderId="10" xfId="0" applyNumberFormat="1" applyFont="1" applyFill="1" applyBorder="1" applyAlignment="1">
      <alignment horizontal="right" vertical="center" wrapText="1"/>
    </xf>
    <xf numFmtId="1" fontId="19" fillId="32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2" fontId="3" fillId="32" borderId="10" xfId="0" applyNumberFormat="1" applyFont="1" applyFill="1" applyBorder="1" applyAlignment="1">
      <alignment horizontal="right" vertical="center" wrapText="1"/>
    </xf>
    <xf numFmtId="1" fontId="4" fillId="32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178" fontId="3" fillId="32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14" fillId="0" borderId="12" xfId="0" applyFont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177" fontId="4" fillId="0" borderId="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0" fontId="9" fillId="0" borderId="10" xfId="0" applyNumberFormat="1" applyFont="1" applyFill="1" applyBorder="1" applyAlignment="1" quotePrefix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right" vertical="center" wrapText="1"/>
    </xf>
    <xf numFmtId="0" fontId="9" fillId="32" borderId="10" xfId="0" applyFont="1" applyFill="1" applyBorder="1" applyAlignment="1" quotePrefix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10" fillId="32" borderId="19" xfId="0" applyFont="1" applyFill="1" applyBorder="1" applyAlignment="1" quotePrefix="1">
      <alignment horizontal="center" vertical="center"/>
    </xf>
    <xf numFmtId="0" fontId="10" fillId="32" borderId="10" xfId="0" applyFont="1" applyFill="1" applyBorder="1" applyAlignment="1" quotePrefix="1">
      <alignment horizontal="center" vertical="center"/>
    </xf>
    <xf numFmtId="0" fontId="10" fillId="32" borderId="20" xfId="0" applyFont="1" applyFill="1" applyBorder="1" applyAlignment="1" quotePrefix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/>
    </xf>
    <xf numFmtId="173" fontId="3" fillId="0" borderId="10" xfId="0" applyNumberFormat="1" applyFont="1" applyFill="1" applyBorder="1" applyAlignment="1">
      <alignment vertical="center" wrapText="1"/>
    </xf>
    <xf numFmtId="3" fontId="2" fillId="0" borderId="0" xfId="0" applyNumberFormat="1" applyFont="1" applyFill="1" applyAlignment="1">
      <alignment horizontal="center" vertical="center"/>
    </xf>
    <xf numFmtId="173" fontId="3" fillId="0" borderId="0" xfId="0" applyNumberFormat="1" applyFont="1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3" fontId="69" fillId="0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 quotePrefix="1">
      <alignment horizontal="center" vertical="center"/>
    </xf>
    <xf numFmtId="173" fontId="4" fillId="34" borderId="10" xfId="0" applyNumberFormat="1" applyFont="1" applyFill="1" applyBorder="1" applyAlignment="1">
      <alignment horizontal="right" vertical="center" wrapText="1"/>
    </xf>
    <xf numFmtId="173" fontId="70" fillId="34" borderId="10" xfId="0" applyNumberFormat="1" applyFont="1" applyFill="1" applyBorder="1" applyAlignment="1">
      <alignment horizontal="right"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1" fontId="70" fillId="34" borderId="10" xfId="0" applyNumberFormat="1" applyFont="1" applyFill="1" applyBorder="1" applyAlignment="1">
      <alignment horizontal="right" vertical="center" wrapText="1"/>
    </xf>
    <xf numFmtId="1" fontId="4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left" vertical="center" wrapText="1" shrinkToFit="1"/>
    </xf>
    <xf numFmtId="0" fontId="9" fillId="34" borderId="10" xfId="0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right" vertical="center" wrapText="1"/>
    </xf>
    <xf numFmtId="173" fontId="4" fillId="34" borderId="10" xfId="0" applyNumberFormat="1" applyFont="1" applyFill="1" applyBorder="1" applyAlignment="1">
      <alignment horizontal="right" vertical="center"/>
    </xf>
    <xf numFmtId="0" fontId="4" fillId="34" borderId="10" xfId="0" applyNumberFormat="1" applyFont="1" applyFill="1" applyBorder="1" applyAlignment="1">
      <alignment horizontal="righ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 quotePrefix="1">
      <alignment horizontal="center" vertical="center"/>
    </xf>
    <xf numFmtId="0" fontId="10" fillId="34" borderId="19" xfId="0" applyFont="1" applyFill="1" applyBorder="1" applyAlignment="1" quotePrefix="1">
      <alignment horizontal="center" vertical="center"/>
    </xf>
    <xf numFmtId="0" fontId="69" fillId="32" borderId="10" xfId="0" applyFont="1" applyFill="1" applyBorder="1" applyAlignment="1">
      <alignment horizontal="right" vertical="center"/>
    </xf>
    <xf numFmtId="176" fontId="69" fillId="32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/>
    </xf>
    <xf numFmtId="173" fontId="69" fillId="34" borderId="10" xfId="0" applyNumberFormat="1" applyFont="1" applyFill="1" applyBorder="1" applyAlignment="1">
      <alignment horizontal="right" vertical="center" wrapText="1"/>
    </xf>
    <xf numFmtId="1" fontId="4" fillId="34" borderId="10" xfId="0" applyNumberFormat="1" applyFont="1" applyFill="1" applyBorder="1" applyAlignment="1">
      <alignment horizontal="right" vertical="center"/>
    </xf>
    <xf numFmtId="0" fontId="4" fillId="34" borderId="10" xfId="53" applyFont="1" applyFill="1" applyBorder="1" applyAlignment="1">
      <alignment horizontal="left" vertical="center" wrapText="1"/>
      <protection/>
    </xf>
    <xf numFmtId="0" fontId="10" fillId="34" borderId="10" xfId="53" applyFont="1" applyFill="1" applyBorder="1" applyAlignment="1">
      <alignment horizontal="center" vertical="center"/>
      <protection/>
    </xf>
    <xf numFmtId="0" fontId="10" fillId="34" borderId="10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178" fontId="26" fillId="0" borderId="0" xfId="0" applyNumberFormat="1" applyFont="1" applyAlignment="1">
      <alignment/>
    </xf>
    <xf numFmtId="0" fontId="3" fillId="32" borderId="20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/>
    </xf>
    <xf numFmtId="0" fontId="4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1" fontId="69" fillId="0" borderId="10" xfId="0" applyNumberFormat="1" applyFont="1" applyFill="1" applyBorder="1" applyAlignment="1">
      <alignment horizontal="right" vertical="center" wrapText="1"/>
    </xf>
    <xf numFmtId="1" fontId="69" fillId="34" borderId="10" xfId="0" applyNumberFormat="1" applyFont="1" applyFill="1" applyBorder="1" applyAlignment="1">
      <alignment horizontal="right" vertical="center" wrapText="1"/>
    </xf>
    <xf numFmtId="3" fontId="4" fillId="34" borderId="10" xfId="0" applyNumberFormat="1" applyFont="1" applyFill="1" applyBorder="1" applyAlignment="1">
      <alignment horizontal="right" vertical="center"/>
    </xf>
    <xf numFmtId="3" fontId="70" fillId="34" borderId="10" xfId="0" applyNumberFormat="1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3" fontId="3" fillId="0" borderId="11" xfId="0" applyNumberFormat="1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173" fontId="4" fillId="34" borderId="10" xfId="0" applyNumberFormat="1" applyFont="1" applyFill="1" applyBorder="1" applyAlignment="1">
      <alignment horizontal="center" vertical="center"/>
    </xf>
    <xf numFmtId="173" fontId="4" fillId="32" borderId="10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/>
    </xf>
    <xf numFmtId="173" fontId="4" fillId="34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73" fontId="3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/>
    </xf>
    <xf numFmtId="0" fontId="3" fillId="32" borderId="21" xfId="0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 quotePrefix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9" fillId="32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22" fillId="0" borderId="10" xfId="0" applyFont="1" applyBorder="1" applyAlignment="1">
      <alignment/>
    </xf>
    <xf numFmtId="0" fontId="69" fillId="32" borderId="10" xfId="0" applyFont="1" applyFill="1" applyBorder="1" applyAlignment="1" applyProtection="1">
      <alignment horizontal="left" vertical="center" wrapText="1"/>
      <protection locked="0"/>
    </xf>
    <xf numFmtId="0" fontId="69" fillId="32" borderId="10" xfId="0" applyNumberFormat="1" applyFont="1" applyFill="1" applyBorder="1" applyAlignment="1" applyProtection="1" quotePrefix="1">
      <alignment horizontal="center" vertical="center" wrapText="1"/>
      <protection locked="0"/>
    </xf>
    <xf numFmtId="173" fontId="69" fillId="32" borderId="10" xfId="0" applyNumberFormat="1" applyFont="1" applyFill="1" applyBorder="1" applyAlignment="1">
      <alignment horizontal="center" vertical="center" wrapText="1"/>
    </xf>
    <xf numFmtId="173" fontId="69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69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vertical="center"/>
    </xf>
    <xf numFmtId="173" fontId="29" fillId="0" borderId="10" xfId="0" applyNumberFormat="1" applyFont="1" applyBorder="1" applyAlignment="1">
      <alignment/>
    </xf>
    <xf numFmtId="0" fontId="9" fillId="0" borderId="0" xfId="53" applyFont="1" applyFill="1" applyBorder="1" applyAlignment="1">
      <alignment horizontal="left" vertical="center" wrapText="1"/>
      <protection/>
    </xf>
    <xf numFmtId="0" fontId="9" fillId="0" borderId="0" xfId="53" applyFont="1" applyFill="1" applyBorder="1" applyAlignment="1">
      <alignment horizontal="center" vertical="center"/>
      <protection/>
    </xf>
    <xf numFmtId="173" fontId="9" fillId="32" borderId="0" xfId="0" applyNumberFormat="1" applyFont="1" applyFill="1" applyBorder="1" applyAlignment="1">
      <alignment horizontal="center" vertical="center" wrapText="1"/>
    </xf>
    <xf numFmtId="173" fontId="9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" fontId="28" fillId="0" borderId="0" xfId="0" applyNumberFormat="1" applyFont="1" applyAlignment="1">
      <alignment/>
    </xf>
    <xf numFmtId="0" fontId="30" fillId="0" borderId="0" xfId="0" applyFont="1" applyAlignment="1">
      <alignment vertical="center"/>
    </xf>
    <xf numFmtId="0" fontId="16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4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0" fontId="4" fillId="34" borderId="10" xfId="0" applyNumberFormat="1" applyFont="1" applyFill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173" fontId="3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right" vertical="center"/>
    </xf>
    <xf numFmtId="173" fontId="3" fillId="34" borderId="10" xfId="0" applyNumberFormat="1" applyFont="1" applyFill="1" applyBorder="1" applyAlignment="1">
      <alignment horizontal="right" vertical="center"/>
    </xf>
    <xf numFmtId="173" fontId="3" fillId="0" borderId="10" xfId="0" applyNumberFormat="1" applyFont="1" applyBorder="1" applyAlignment="1">
      <alignment horizontal="right"/>
    </xf>
    <xf numFmtId="173" fontId="4" fillId="34" borderId="10" xfId="0" applyNumberFormat="1" applyFont="1" applyFill="1" applyBorder="1" applyAlignment="1">
      <alignment horizontal="right"/>
    </xf>
    <xf numFmtId="173" fontId="3" fillId="34" borderId="10" xfId="0" applyNumberFormat="1" applyFont="1" applyFill="1" applyBorder="1" applyAlignment="1">
      <alignment horizontal="right" vertical="center" wrapText="1"/>
    </xf>
    <xf numFmtId="0" fontId="3" fillId="32" borderId="10" xfId="0" applyNumberFormat="1" applyFont="1" applyFill="1" applyBorder="1" applyAlignment="1">
      <alignment horizontal="right" vertical="center" wrapText="1"/>
    </xf>
    <xf numFmtId="173" fontId="4" fillId="32" borderId="10" xfId="0" applyNumberFormat="1" applyFont="1" applyFill="1" applyBorder="1" applyAlignment="1">
      <alignment horizontal="right" vertical="center" wrapText="1"/>
    </xf>
    <xf numFmtId="49" fontId="3" fillId="32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right" vertical="center"/>
    </xf>
    <xf numFmtId="173" fontId="3" fillId="32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right" vertical="center"/>
    </xf>
    <xf numFmtId="1" fontId="26" fillId="0" borderId="0" xfId="0" applyNumberFormat="1" applyFont="1" applyAlignment="1">
      <alignment/>
    </xf>
    <xf numFmtId="0" fontId="32" fillId="0" borderId="0" xfId="0" applyFont="1" applyAlignment="1">
      <alignment horizontal="lef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32" borderId="0" xfId="53" applyFont="1" applyFill="1" applyBorder="1" applyAlignment="1">
      <alignment horizontal="center" vertical="center"/>
      <protection/>
    </xf>
    <xf numFmtId="0" fontId="9" fillId="32" borderId="10" xfId="53" applyFont="1" applyFill="1" applyBorder="1" applyAlignment="1">
      <alignment horizontal="center" vertical="center" wrapText="1"/>
      <protection/>
    </xf>
    <xf numFmtId="173" fontId="3" fillId="34" borderId="10" xfId="0" applyNumberFormat="1" applyFont="1" applyFill="1" applyBorder="1" applyAlignment="1">
      <alignment vertical="center" wrapText="1"/>
    </xf>
    <xf numFmtId="173" fontId="3" fillId="34" borderId="10" xfId="0" applyNumberFormat="1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>
      <alignment horizontal="right" vertical="center" wrapText="1"/>
    </xf>
    <xf numFmtId="176" fontId="3" fillId="32" borderId="0" xfId="53" applyNumberFormat="1" applyFont="1" applyFill="1" applyBorder="1" applyAlignment="1">
      <alignment horizontal="center" vertical="center" wrapText="1"/>
      <protection/>
    </xf>
    <xf numFmtId="177" fontId="3" fillId="0" borderId="10" xfId="0" applyNumberFormat="1" applyFont="1" applyFill="1" applyBorder="1" applyAlignment="1">
      <alignment horizontal="right" vertical="center" wrapText="1"/>
    </xf>
    <xf numFmtId="0" fontId="3" fillId="34" borderId="10" xfId="53" applyFont="1" applyFill="1" applyBorder="1" applyAlignment="1">
      <alignment horizontal="left" vertical="center" wrapText="1"/>
      <protection/>
    </xf>
    <xf numFmtId="173" fontId="69" fillId="34" borderId="11" xfId="0" applyNumberFormat="1" applyFont="1" applyFill="1" applyBorder="1" applyAlignment="1">
      <alignment horizontal="center" vertical="center"/>
    </xf>
    <xf numFmtId="173" fontId="3" fillId="34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173" fontId="3" fillId="32" borderId="10" xfId="0" applyNumberFormat="1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/>
    </xf>
    <xf numFmtId="49" fontId="69" fillId="34" borderId="11" xfId="0" applyNumberFormat="1" applyFont="1" applyFill="1" applyBorder="1" applyAlignment="1">
      <alignment horizontal="center" vertical="center"/>
    </xf>
    <xf numFmtId="0" fontId="70" fillId="34" borderId="10" xfId="0" applyNumberFormat="1" applyFont="1" applyFill="1" applyBorder="1" applyAlignment="1">
      <alignment horizontal="right" vertical="center" wrapText="1"/>
    </xf>
    <xf numFmtId="173" fontId="70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 shrinkToFit="1"/>
    </xf>
    <xf numFmtId="173" fontId="4" fillId="0" borderId="10" xfId="0" applyNumberFormat="1" applyFont="1" applyFill="1" applyBorder="1" applyAlignment="1">
      <alignment horizontal="right" vertical="center" wrapText="1"/>
    </xf>
    <xf numFmtId="173" fontId="3" fillId="0" borderId="0" xfId="0" applyNumberFormat="1" applyFont="1" applyFill="1" applyAlignment="1">
      <alignment/>
    </xf>
    <xf numFmtId="173" fontId="3" fillId="0" borderId="0" xfId="0" applyNumberFormat="1" applyFont="1" applyFill="1" applyBorder="1" applyAlignment="1">
      <alignment horizontal="right" vertical="center" wrapText="1"/>
    </xf>
    <xf numFmtId="49" fontId="4" fillId="32" borderId="10" xfId="0" applyNumberFormat="1" applyFont="1" applyFill="1" applyBorder="1" applyAlignment="1">
      <alignment horizontal="right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wrapText="1"/>
    </xf>
    <xf numFmtId="173" fontId="69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177" fontId="3" fillId="0" borderId="10" xfId="0" applyNumberFormat="1" applyFont="1" applyBorder="1" applyAlignment="1">
      <alignment vertical="center"/>
    </xf>
    <xf numFmtId="0" fontId="18" fillId="0" borderId="14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24" xfId="0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176" fontId="3" fillId="0" borderId="0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 quotePrefix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32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" fillId="32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 shrinkToFit="1"/>
    </xf>
    <xf numFmtId="0" fontId="3" fillId="32" borderId="19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3" fillId="32" borderId="21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26" xfId="53" applyFont="1" applyFill="1" applyBorder="1" applyAlignment="1">
      <alignment horizontal="left" vertical="center" wrapText="1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 quotePrefix="1">
      <alignment horizontal="left" vertical="center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0" fontId="4" fillId="32" borderId="11" xfId="53" applyFont="1" applyFill="1" applyBorder="1" applyAlignment="1">
      <alignment horizontal="left" vertical="center" wrapText="1"/>
      <protection/>
    </xf>
    <xf numFmtId="0" fontId="4" fillId="32" borderId="26" xfId="53" applyFont="1" applyFill="1" applyBorder="1" applyAlignment="1">
      <alignment horizontal="left" vertical="center" wrapText="1"/>
      <protection/>
    </xf>
    <xf numFmtId="0" fontId="4" fillId="32" borderId="27" xfId="53" applyFont="1" applyFill="1" applyBorder="1" applyAlignment="1">
      <alignment horizontal="left" vertical="center" wrapText="1"/>
      <protection/>
    </xf>
    <xf numFmtId="0" fontId="3" fillId="32" borderId="20" xfId="53" applyFont="1" applyFill="1" applyBorder="1" applyAlignment="1">
      <alignment horizontal="center" vertical="center" wrapText="1"/>
      <protection/>
    </xf>
    <xf numFmtId="0" fontId="3" fillId="32" borderId="19" xfId="53" applyFont="1" applyFill="1" applyBorder="1" applyAlignment="1">
      <alignment horizontal="center" vertical="center" wrapText="1"/>
      <protection/>
    </xf>
    <xf numFmtId="0" fontId="3" fillId="32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70" fillId="32" borderId="10" xfId="0" applyFont="1" applyFill="1" applyBorder="1" applyAlignment="1">
      <alignment horizontal="center" vertical="center" wrapText="1"/>
    </xf>
    <xf numFmtId="177" fontId="20" fillId="33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4"/>
  <sheetViews>
    <sheetView tabSelected="1" zoomScalePageLayoutView="0" workbookViewId="0" topLeftCell="A1">
      <selection activeCell="C14" sqref="C14:E14"/>
    </sheetView>
  </sheetViews>
  <sheetFormatPr defaultColWidth="9.140625" defaultRowHeight="12.75"/>
  <cols>
    <col min="1" max="1" width="6.421875" style="65" customWidth="1"/>
    <col min="2" max="2" width="26.7109375" style="65" customWidth="1"/>
    <col min="3" max="5" width="9.57421875" style="65" customWidth="1"/>
    <col min="6" max="6" width="12.00390625" style="65" bestFit="1" customWidth="1"/>
    <col min="7" max="7" width="6.140625" style="65" bestFit="1" customWidth="1"/>
    <col min="8" max="8" width="15.28125" style="65" customWidth="1"/>
    <col min="9" max="16384" width="9.140625" style="65" customWidth="1"/>
  </cols>
  <sheetData>
    <row r="1" ht="12.75">
      <c r="B1" s="185"/>
    </row>
    <row r="2" spans="2:5" ht="18.75">
      <c r="B2" s="185"/>
      <c r="E2" s="186" t="s">
        <v>152</v>
      </c>
    </row>
    <row r="3" spans="2:5" ht="12.75">
      <c r="B3" s="185"/>
      <c r="E3" t="s">
        <v>291</v>
      </c>
    </row>
    <row r="4" spans="2:5" ht="12.75">
      <c r="B4" s="185"/>
      <c r="E4" t="s">
        <v>291</v>
      </c>
    </row>
    <row r="5" spans="2:5" ht="12.75">
      <c r="B5" s="185"/>
      <c r="E5" t="s">
        <v>291</v>
      </c>
    </row>
    <row r="6" ht="12.75">
      <c r="B6" s="185"/>
    </row>
    <row r="7" ht="12.75">
      <c r="B7" s="185"/>
    </row>
    <row r="8" ht="12.75">
      <c r="B8" s="185"/>
    </row>
    <row r="9" spans="2:8" ht="18.75">
      <c r="B9" s="244" t="s">
        <v>292</v>
      </c>
      <c r="C9" s="244"/>
      <c r="D9" s="244"/>
      <c r="E9" s="244"/>
      <c r="F9" s="244"/>
      <c r="G9" s="244"/>
      <c r="H9" s="244"/>
    </row>
    <row r="10" ht="20.25" customHeight="1">
      <c r="B10" s="16"/>
    </row>
    <row r="11" ht="20.25" customHeight="1" thickBot="1">
      <c r="B11" s="16"/>
    </row>
    <row r="12" spans="2:8" ht="15.75">
      <c r="B12" s="18"/>
      <c r="C12" s="18"/>
      <c r="D12" s="17"/>
      <c r="E12" s="17"/>
      <c r="F12" s="17"/>
      <c r="G12" s="245" t="s">
        <v>110</v>
      </c>
      <c r="H12" s="246"/>
    </row>
    <row r="13" spans="2:8" ht="16.5" thickBot="1">
      <c r="B13" s="25"/>
      <c r="C13" s="16"/>
      <c r="D13" s="16"/>
      <c r="E13" s="16"/>
      <c r="F13" s="18" t="s">
        <v>108</v>
      </c>
      <c r="G13" s="247">
        <v>2023</v>
      </c>
      <c r="H13" s="248"/>
    </row>
    <row r="14" spans="2:8" ht="73.5" customHeight="1" thickBot="1">
      <c r="B14" s="28" t="s">
        <v>111</v>
      </c>
      <c r="C14" s="243" t="s">
        <v>191</v>
      </c>
      <c r="D14" s="243"/>
      <c r="E14" s="243"/>
      <c r="F14" s="19" t="s">
        <v>324</v>
      </c>
      <c r="G14" s="249">
        <v>31345419</v>
      </c>
      <c r="H14" s="250"/>
    </row>
    <row r="15" spans="2:8" ht="32.25" thickBot="1">
      <c r="B15" s="20" t="s">
        <v>112</v>
      </c>
      <c r="C15" s="251" t="s">
        <v>140</v>
      </c>
      <c r="D15" s="251"/>
      <c r="E15" s="251"/>
      <c r="F15" s="22" t="s">
        <v>113</v>
      </c>
      <c r="G15" s="64">
        <v>150</v>
      </c>
      <c r="H15" s="66"/>
    </row>
    <row r="16" spans="2:8" ht="24.75" customHeight="1" thickBot="1">
      <c r="B16" s="20" t="s">
        <v>114</v>
      </c>
      <c r="C16" s="251"/>
      <c r="D16" s="251"/>
      <c r="E16" s="251"/>
      <c r="F16" s="22" t="s">
        <v>115</v>
      </c>
      <c r="G16" s="64" t="s">
        <v>141</v>
      </c>
      <c r="H16" s="66"/>
    </row>
    <row r="17" spans="2:8" ht="34.5" customHeight="1" thickBot="1">
      <c r="B17" s="20" t="s">
        <v>116</v>
      </c>
      <c r="C17" s="251"/>
      <c r="D17" s="251"/>
      <c r="E17" s="251"/>
      <c r="F17" s="22" t="s">
        <v>117</v>
      </c>
      <c r="G17" s="64" t="s">
        <v>153</v>
      </c>
      <c r="H17" s="66"/>
    </row>
    <row r="18" spans="2:8" ht="32.25" customHeight="1" thickBot="1">
      <c r="B18" s="20" t="s">
        <v>118</v>
      </c>
      <c r="C18" s="21"/>
      <c r="D18" s="21"/>
      <c r="E18" s="21"/>
      <c r="F18" s="22"/>
      <c r="G18" s="22"/>
      <c r="H18" s="19"/>
    </row>
    <row r="19" spans="2:8" ht="21.75" customHeight="1" thickBot="1">
      <c r="B19" s="20" t="s">
        <v>119</v>
      </c>
      <c r="C19" s="251" t="s">
        <v>142</v>
      </c>
      <c r="D19" s="251"/>
      <c r="E19" s="251"/>
      <c r="F19" s="22"/>
      <c r="G19" s="22"/>
      <c r="H19" s="19"/>
    </row>
    <row r="20" spans="2:8" ht="21.75" customHeight="1" thickBot="1">
      <c r="B20" s="20" t="s">
        <v>120</v>
      </c>
      <c r="C20" s="302">
        <v>114.5</v>
      </c>
      <c r="D20" s="302"/>
      <c r="E20" s="302"/>
      <c r="F20" s="21"/>
      <c r="G20" s="22"/>
      <c r="H20" s="19"/>
    </row>
    <row r="21" spans="2:8" ht="21.75" customHeight="1" thickBot="1">
      <c r="B21" s="20" t="s">
        <v>121</v>
      </c>
      <c r="C21" s="252" t="s">
        <v>187</v>
      </c>
      <c r="D21" s="252"/>
      <c r="E21" s="252"/>
      <c r="F21" s="252"/>
      <c r="G21" s="22"/>
      <c r="H21" s="19"/>
    </row>
    <row r="22" spans="2:8" ht="21.75" customHeight="1" thickBot="1">
      <c r="B22" s="20" t="s">
        <v>122</v>
      </c>
      <c r="C22" s="252" t="s">
        <v>192</v>
      </c>
      <c r="D22" s="252"/>
      <c r="E22" s="252"/>
      <c r="F22" s="252"/>
      <c r="G22" s="23"/>
      <c r="H22" s="24"/>
    </row>
    <row r="23" spans="3:8" ht="15.75">
      <c r="C23" s="23"/>
      <c r="D23" s="23"/>
      <c r="E23" s="23"/>
      <c r="F23" s="23"/>
      <c r="G23" s="23"/>
      <c r="H23" s="23"/>
    </row>
    <row r="24" spans="2:8" ht="15.75">
      <c r="B24" s="18" t="s">
        <v>123</v>
      </c>
      <c r="D24" s="253" t="s">
        <v>308</v>
      </c>
      <c r="E24" s="253"/>
      <c r="F24" s="253"/>
      <c r="G24" s="253"/>
      <c r="H24" s="16"/>
    </row>
    <row r="25" spans="2:8" ht="15.75">
      <c r="B25" s="16"/>
      <c r="C25" s="16"/>
      <c r="D25" s="16"/>
      <c r="E25" s="16"/>
      <c r="F25" s="18"/>
      <c r="G25" s="16"/>
      <c r="H25" s="16"/>
    </row>
    <row r="26" spans="2:8" ht="15.75">
      <c r="B26" s="67"/>
      <c r="C26" s="67"/>
      <c r="D26" s="67"/>
      <c r="E26" s="67"/>
      <c r="F26" s="67"/>
      <c r="G26" s="67"/>
      <c r="H26" s="67"/>
    </row>
    <row r="27" ht="15.75">
      <c r="B27" s="68"/>
    </row>
    <row r="28" ht="15.75">
      <c r="B28" s="15"/>
    </row>
    <row r="29" ht="15.75">
      <c r="B29" s="15"/>
    </row>
    <row r="30" ht="15.75">
      <c r="B30" s="15"/>
    </row>
    <row r="31" ht="15.75">
      <c r="B31" s="15"/>
    </row>
    <row r="32" ht="15.75">
      <c r="B32" s="15"/>
    </row>
    <row r="33" ht="15.75">
      <c r="B33" s="15"/>
    </row>
    <row r="34" ht="15.75">
      <c r="B34" s="15"/>
    </row>
  </sheetData>
  <sheetProtection/>
  <mergeCells count="13">
    <mergeCell ref="C20:E20"/>
    <mergeCell ref="C21:F21"/>
    <mergeCell ref="C22:F22"/>
    <mergeCell ref="D24:G24"/>
    <mergeCell ref="C19:E19"/>
    <mergeCell ref="C16:E16"/>
    <mergeCell ref="C17:E17"/>
    <mergeCell ref="C14:E14"/>
    <mergeCell ref="B9:H9"/>
    <mergeCell ref="G12:H12"/>
    <mergeCell ref="G13:H13"/>
    <mergeCell ref="G14:H14"/>
    <mergeCell ref="C15:E15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7"/>
  <sheetViews>
    <sheetView zoomScalePageLayoutView="0" workbookViewId="0" topLeftCell="A1">
      <selection activeCell="A6" sqref="A6:G6"/>
    </sheetView>
  </sheetViews>
  <sheetFormatPr defaultColWidth="9.140625" defaultRowHeight="12.75"/>
  <cols>
    <col min="1" max="1" width="37.00390625" style="44" customWidth="1"/>
    <col min="2" max="2" width="7.140625" style="44" customWidth="1"/>
    <col min="3" max="3" width="9.7109375" style="45" customWidth="1"/>
    <col min="4" max="5" width="9.7109375" style="44" customWidth="1"/>
    <col min="6" max="6" width="10.8515625" style="44" customWidth="1"/>
    <col min="7" max="7" width="10.57421875" style="44" customWidth="1"/>
    <col min="8" max="8" width="2.57421875" style="44" customWidth="1"/>
    <col min="9" max="16384" width="9.140625" style="44" customWidth="1"/>
  </cols>
  <sheetData>
    <row r="1" spans="1:7" ht="18" customHeight="1">
      <c r="A1" s="262" t="s">
        <v>279</v>
      </c>
      <c r="B1" s="262"/>
      <c r="C1" s="262"/>
      <c r="D1" s="262"/>
      <c r="E1" s="262"/>
      <c r="F1" s="262"/>
      <c r="G1" s="262"/>
    </row>
    <row r="2" spans="1:7" ht="15.75">
      <c r="A2" s="262" t="s">
        <v>280</v>
      </c>
      <c r="B2" s="262"/>
      <c r="C2" s="262"/>
      <c r="D2" s="262"/>
      <c r="E2" s="262"/>
      <c r="F2" s="262"/>
      <c r="G2" s="262"/>
    </row>
    <row r="3" spans="1:7" ht="15.75">
      <c r="A3" s="263" t="s">
        <v>303</v>
      </c>
      <c r="B3" s="263"/>
      <c r="C3" s="263"/>
      <c r="D3" s="263"/>
      <c r="E3" s="263"/>
      <c r="F3" s="263"/>
      <c r="G3" s="263"/>
    </row>
    <row r="4" spans="1:7" ht="15.75">
      <c r="A4" s="264" t="s">
        <v>281</v>
      </c>
      <c r="B4" s="264"/>
      <c r="C4" s="264"/>
      <c r="D4" s="264"/>
      <c r="E4" s="264"/>
      <c r="F4" s="264"/>
      <c r="G4" s="264"/>
    </row>
    <row r="5" spans="1:7" ht="15.75">
      <c r="A5" s="140"/>
      <c r="B5" s="140"/>
      <c r="C5" s="85"/>
      <c r="D5" s="85"/>
      <c r="E5" s="85"/>
      <c r="F5" s="85"/>
      <c r="G5" s="85" t="s">
        <v>109</v>
      </c>
    </row>
    <row r="6" spans="1:7" ht="15.75">
      <c r="A6" s="265" t="s">
        <v>0</v>
      </c>
      <c r="B6" s="265"/>
      <c r="C6" s="265"/>
      <c r="D6" s="265"/>
      <c r="E6" s="265"/>
      <c r="F6" s="265"/>
      <c r="G6" s="265"/>
    </row>
    <row r="7" spans="1:7" ht="15" customHeight="1">
      <c r="A7" s="141"/>
      <c r="B7" s="142"/>
      <c r="C7" s="141"/>
      <c r="D7" s="141"/>
      <c r="E7" s="142"/>
      <c r="F7" s="141"/>
      <c r="G7" s="141"/>
    </row>
    <row r="8" spans="1:7" ht="15" customHeight="1">
      <c r="A8" s="266" t="s">
        <v>1</v>
      </c>
      <c r="B8" s="268" t="s">
        <v>2</v>
      </c>
      <c r="C8" s="270" t="s">
        <v>293</v>
      </c>
      <c r="D8" s="268" t="s">
        <v>295</v>
      </c>
      <c r="E8" s="257" t="s">
        <v>296</v>
      </c>
      <c r="F8" s="257" t="s">
        <v>277</v>
      </c>
      <c r="G8" s="257" t="s">
        <v>278</v>
      </c>
    </row>
    <row r="9" spans="1:7" ht="27.75" customHeight="1">
      <c r="A9" s="267"/>
      <c r="B9" s="269"/>
      <c r="C9" s="271"/>
      <c r="D9" s="269"/>
      <c r="E9" s="258"/>
      <c r="F9" s="258"/>
      <c r="G9" s="258"/>
    </row>
    <row r="10" spans="1:7" s="63" customFormat="1" ht="12.75">
      <c r="A10" s="29">
        <v>1</v>
      </c>
      <c r="B10" s="14">
        <v>2</v>
      </c>
      <c r="C10" s="43">
        <v>3</v>
      </c>
      <c r="D10" s="14">
        <v>4</v>
      </c>
      <c r="E10" s="14">
        <v>6</v>
      </c>
      <c r="F10" s="14">
        <v>7</v>
      </c>
      <c r="G10" s="14">
        <v>8</v>
      </c>
    </row>
    <row r="11" spans="1:7" ht="15.75">
      <c r="A11" s="6" t="s">
        <v>3</v>
      </c>
      <c r="B11" s="86"/>
      <c r="C11" s="35"/>
      <c r="D11" s="46"/>
      <c r="E11" s="46"/>
      <c r="F11" s="46"/>
      <c r="G11" s="46"/>
    </row>
    <row r="12" spans="1:7" ht="28.5">
      <c r="A12" s="96" t="s">
        <v>4</v>
      </c>
      <c r="B12" s="97">
        <v>1000</v>
      </c>
      <c r="C12" s="98">
        <v>28359</v>
      </c>
      <c r="D12" s="228">
        <v>32008</v>
      </c>
      <c r="E12" s="208">
        <v>31915</v>
      </c>
      <c r="F12" s="101">
        <f>E12-D12</f>
        <v>-93</v>
      </c>
      <c r="G12" s="101">
        <f>E12/D12*100</f>
        <v>99.70944763809048</v>
      </c>
    </row>
    <row r="13" spans="1:7" ht="27.75" customHeight="1">
      <c r="A13" s="96" t="s">
        <v>5</v>
      </c>
      <c r="B13" s="97">
        <v>1010</v>
      </c>
      <c r="C13" s="98">
        <v>22927</v>
      </c>
      <c r="D13" s="99">
        <v>26173.28</v>
      </c>
      <c r="E13" s="99">
        <f>SUM(E14:E26)-E19</f>
        <v>23293</v>
      </c>
      <c r="F13" s="101">
        <f aca="true" t="shared" si="0" ref="F13:F76">E13-D13</f>
        <v>-2880.279999999999</v>
      </c>
      <c r="G13" s="101">
        <f aca="true" t="shared" si="1" ref="G13:G76">E13/D13*100</f>
        <v>88.99534181424721</v>
      </c>
    </row>
    <row r="14" spans="1:7" ht="28.5" customHeight="1">
      <c r="A14" s="3" t="s">
        <v>6</v>
      </c>
      <c r="B14" s="14">
        <v>1011</v>
      </c>
      <c r="C14" s="55">
        <v>1099</v>
      </c>
      <c r="D14" s="49">
        <v>1152</v>
      </c>
      <c r="E14" s="199">
        <f>1085+480+20</f>
        <v>1585</v>
      </c>
      <c r="F14" s="143">
        <f t="shared" si="0"/>
        <v>433</v>
      </c>
      <c r="G14" s="143">
        <f t="shared" si="1"/>
        <v>137.58680555555557</v>
      </c>
    </row>
    <row r="15" spans="1:7" ht="15.75">
      <c r="A15" s="3" t="s">
        <v>7</v>
      </c>
      <c r="B15" s="14">
        <v>1012</v>
      </c>
      <c r="C15" s="55">
        <v>9</v>
      </c>
      <c r="D15" s="49">
        <v>20</v>
      </c>
      <c r="E15" s="199">
        <v>14</v>
      </c>
      <c r="F15" s="143">
        <f t="shared" si="0"/>
        <v>-6</v>
      </c>
      <c r="G15" s="143">
        <f t="shared" si="1"/>
        <v>70</v>
      </c>
    </row>
    <row r="16" spans="1:7" ht="15.75">
      <c r="A16" s="3" t="s">
        <v>8</v>
      </c>
      <c r="B16" s="14">
        <v>1013</v>
      </c>
      <c r="C16" s="55">
        <v>806</v>
      </c>
      <c r="D16" s="49">
        <v>780</v>
      </c>
      <c r="E16" s="199">
        <v>854</v>
      </c>
      <c r="F16" s="143">
        <f t="shared" si="0"/>
        <v>74</v>
      </c>
      <c r="G16" s="143">
        <f t="shared" si="1"/>
        <v>109.4871794871795</v>
      </c>
    </row>
    <row r="17" spans="1:7" ht="15.75">
      <c r="A17" s="3" t="s">
        <v>9</v>
      </c>
      <c r="B17" s="14">
        <v>1014</v>
      </c>
      <c r="C17" s="55">
        <v>6844</v>
      </c>
      <c r="D17" s="49">
        <v>7424</v>
      </c>
      <c r="E17" s="199">
        <v>6605</v>
      </c>
      <c r="F17" s="143">
        <f t="shared" si="0"/>
        <v>-819</v>
      </c>
      <c r="G17" s="143">
        <f t="shared" si="1"/>
        <v>88.96821120689656</v>
      </c>
    </row>
    <row r="18" spans="1:7" ht="15.75">
      <c r="A18" s="3" t="s">
        <v>10</v>
      </c>
      <c r="B18" s="14">
        <v>1015</v>
      </c>
      <c r="C18" s="55">
        <v>1501</v>
      </c>
      <c r="D18" s="49">
        <v>1633.28</v>
      </c>
      <c r="E18" s="199">
        <v>1437</v>
      </c>
      <c r="F18" s="143">
        <f t="shared" si="0"/>
        <v>-196.27999999999997</v>
      </c>
      <c r="G18" s="143">
        <f t="shared" si="1"/>
        <v>87.98246473354232</v>
      </c>
    </row>
    <row r="19" spans="1:7" ht="60">
      <c r="A19" s="3" t="s">
        <v>250</v>
      </c>
      <c r="B19" s="5">
        <v>1016</v>
      </c>
      <c r="C19" s="49">
        <v>2587</v>
      </c>
      <c r="D19" s="49">
        <v>2734</v>
      </c>
      <c r="E19" s="199">
        <f>E20+E21</f>
        <v>2655</v>
      </c>
      <c r="F19" s="143">
        <f t="shared" si="0"/>
        <v>-79</v>
      </c>
      <c r="G19" s="143">
        <f t="shared" si="1"/>
        <v>97.1104608632041</v>
      </c>
    </row>
    <row r="20" spans="1:7" ht="15.75">
      <c r="A20" s="3" t="s">
        <v>176</v>
      </c>
      <c r="B20" s="14" t="s">
        <v>251</v>
      </c>
      <c r="C20" s="55">
        <v>1832</v>
      </c>
      <c r="D20" s="49">
        <v>1880</v>
      </c>
      <c r="E20" s="199">
        <v>1616</v>
      </c>
      <c r="F20" s="143">
        <f t="shared" si="0"/>
        <v>-264</v>
      </c>
      <c r="G20" s="143">
        <f t="shared" si="1"/>
        <v>85.95744680851064</v>
      </c>
    </row>
    <row r="21" spans="1:7" ht="30">
      <c r="A21" s="3" t="s">
        <v>173</v>
      </c>
      <c r="B21" s="14" t="s">
        <v>252</v>
      </c>
      <c r="C21" s="55">
        <v>755</v>
      </c>
      <c r="D21" s="111">
        <v>854</v>
      </c>
      <c r="E21" s="199">
        <v>1039</v>
      </c>
      <c r="F21" s="143">
        <f t="shared" si="0"/>
        <v>185</v>
      </c>
      <c r="G21" s="143">
        <f t="shared" si="1"/>
        <v>121.66276346604215</v>
      </c>
    </row>
    <row r="22" spans="1:7" ht="30">
      <c r="A22" s="3" t="s">
        <v>11</v>
      </c>
      <c r="B22" s="14">
        <v>1017</v>
      </c>
      <c r="C22" s="55">
        <v>16</v>
      </c>
      <c r="D22" s="111">
        <v>18</v>
      </c>
      <c r="E22" s="199">
        <v>93</v>
      </c>
      <c r="F22" s="143">
        <f t="shared" si="0"/>
        <v>75</v>
      </c>
      <c r="G22" s="143">
        <f t="shared" si="1"/>
        <v>516.6666666666667</v>
      </c>
    </row>
    <row r="23" spans="1:7" ht="15.75">
      <c r="A23" s="3" t="s">
        <v>253</v>
      </c>
      <c r="B23" s="14">
        <v>1018</v>
      </c>
      <c r="C23" s="55"/>
      <c r="D23" s="49"/>
      <c r="E23" s="199"/>
      <c r="F23" s="143"/>
      <c r="G23" s="143"/>
    </row>
    <row r="24" spans="1:7" ht="14.25" customHeight="1">
      <c r="A24" s="95" t="s">
        <v>174</v>
      </c>
      <c r="B24" s="14">
        <v>1019</v>
      </c>
      <c r="C24" s="55">
        <v>6156</v>
      </c>
      <c r="D24" s="49">
        <v>8852</v>
      </c>
      <c r="E24" s="210">
        <v>7620</v>
      </c>
      <c r="F24" s="143">
        <f t="shared" si="0"/>
        <v>-1232</v>
      </c>
      <c r="G24" s="143">
        <f t="shared" si="1"/>
        <v>86.08224130140081</v>
      </c>
    </row>
    <row r="25" spans="1:7" ht="15.75" customHeight="1">
      <c r="A25" s="3" t="s">
        <v>175</v>
      </c>
      <c r="B25" s="14">
        <v>1020</v>
      </c>
      <c r="C25" s="55">
        <v>3341</v>
      </c>
      <c r="D25" s="51">
        <v>3312</v>
      </c>
      <c r="E25" s="210">
        <v>2161</v>
      </c>
      <c r="F25" s="143">
        <f t="shared" si="0"/>
        <v>-1151</v>
      </c>
      <c r="G25" s="143">
        <f t="shared" si="1"/>
        <v>65.24758454106279</v>
      </c>
    </row>
    <row r="26" spans="1:7" ht="30">
      <c r="A26" s="3" t="s">
        <v>309</v>
      </c>
      <c r="B26" s="14">
        <v>1021</v>
      </c>
      <c r="C26" s="55">
        <v>568</v>
      </c>
      <c r="D26" s="49">
        <v>248</v>
      </c>
      <c r="E26" s="199">
        <f>256+13</f>
        <v>269</v>
      </c>
      <c r="F26" s="143">
        <f t="shared" si="0"/>
        <v>21</v>
      </c>
      <c r="G26" s="143">
        <f t="shared" si="1"/>
        <v>108.46774193548387</v>
      </c>
    </row>
    <row r="27" spans="1:7" ht="15.75">
      <c r="A27" s="96" t="s">
        <v>13</v>
      </c>
      <c r="B27" s="97">
        <v>1020</v>
      </c>
      <c r="C27" s="98">
        <v>5432</v>
      </c>
      <c r="D27" s="146">
        <v>5834.720000000001</v>
      </c>
      <c r="E27" s="146">
        <f>E12-E13</f>
        <v>8622</v>
      </c>
      <c r="F27" s="101">
        <f t="shared" si="0"/>
        <v>2787.279999999999</v>
      </c>
      <c r="G27" s="101">
        <f t="shared" si="1"/>
        <v>147.77058710615074</v>
      </c>
    </row>
    <row r="28" spans="1:7" s="37" customFormat="1" ht="15.75">
      <c r="A28" s="96" t="s">
        <v>145</v>
      </c>
      <c r="B28" s="97">
        <v>1030</v>
      </c>
      <c r="C28" s="101">
        <v>4955</v>
      </c>
      <c r="D28" s="99">
        <v>5693.6</v>
      </c>
      <c r="E28" s="99">
        <f>SUM(E29:E50)</f>
        <v>5534</v>
      </c>
      <c r="F28" s="101">
        <f t="shared" si="0"/>
        <v>-159.60000000000036</v>
      </c>
      <c r="G28" s="101">
        <f t="shared" si="1"/>
        <v>97.19685260643529</v>
      </c>
    </row>
    <row r="29" spans="1:7" ht="30">
      <c r="A29" s="3" t="s">
        <v>14</v>
      </c>
      <c r="B29" s="87">
        <v>1031</v>
      </c>
      <c r="C29" s="52">
        <v>132</v>
      </c>
      <c r="D29" s="49">
        <v>199.6</v>
      </c>
      <c r="E29" s="199">
        <v>111</v>
      </c>
      <c r="F29" s="143">
        <f t="shared" si="0"/>
        <v>-88.6</v>
      </c>
      <c r="G29" s="143">
        <f t="shared" si="1"/>
        <v>55.61122244488978</v>
      </c>
    </row>
    <row r="30" spans="1:7" ht="30">
      <c r="A30" s="3" t="s">
        <v>204</v>
      </c>
      <c r="B30" s="87">
        <v>1032</v>
      </c>
      <c r="C30" s="52"/>
      <c r="D30" s="49" t="s">
        <v>314</v>
      </c>
      <c r="E30" s="199"/>
      <c r="F30" s="143"/>
      <c r="G30" s="143"/>
    </row>
    <row r="31" spans="1:7" ht="15.75">
      <c r="A31" s="3" t="s">
        <v>15</v>
      </c>
      <c r="B31" s="87">
        <v>1033</v>
      </c>
      <c r="C31" s="52"/>
      <c r="D31" s="49" t="s">
        <v>314</v>
      </c>
      <c r="E31" s="199"/>
      <c r="F31" s="143"/>
      <c r="G31" s="143"/>
    </row>
    <row r="32" spans="1:7" ht="15.75">
      <c r="A32" s="3" t="s">
        <v>16</v>
      </c>
      <c r="B32" s="87">
        <v>1034</v>
      </c>
      <c r="C32" s="52"/>
      <c r="D32" s="112"/>
      <c r="E32" s="199"/>
      <c r="F32" s="143"/>
      <c r="G32" s="143"/>
    </row>
    <row r="33" spans="1:7" ht="15.75">
      <c r="A33" s="3" t="s">
        <v>17</v>
      </c>
      <c r="B33" s="87">
        <v>1035</v>
      </c>
      <c r="C33" s="52"/>
      <c r="D33" s="49" t="s">
        <v>314</v>
      </c>
      <c r="E33" s="199"/>
      <c r="F33" s="143"/>
      <c r="G33" s="143"/>
    </row>
    <row r="34" spans="1:7" ht="15.75">
      <c r="A34" s="3" t="s">
        <v>18</v>
      </c>
      <c r="B34" s="87">
        <v>1036</v>
      </c>
      <c r="C34" s="52">
        <v>5</v>
      </c>
      <c r="D34" s="92">
        <v>6</v>
      </c>
      <c r="E34" s="199">
        <v>9</v>
      </c>
      <c r="F34" s="143">
        <f t="shared" si="0"/>
        <v>3</v>
      </c>
      <c r="G34" s="143">
        <f t="shared" si="1"/>
        <v>150</v>
      </c>
    </row>
    <row r="35" spans="1:7" ht="15.75">
      <c r="A35" s="3" t="s">
        <v>19</v>
      </c>
      <c r="B35" s="87">
        <v>1037</v>
      </c>
      <c r="C35" s="52">
        <v>37</v>
      </c>
      <c r="D35" s="113">
        <v>30</v>
      </c>
      <c r="E35" s="199">
        <v>37</v>
      </c>
      <c r="F35" s="143">
        <f t="shared" si="0"/>
        <v>7</v>
      </c>
      <c r="G35" s="143">
        <f t="shared" si="1"/>
        <v>123.33333333333334</v>
      </c>
    </row>
    <row r="36" spans="1:7" ht="15.75">
      <c r="A36" s="3" t="s">
        <v>20</v>
      </c>
      <c r="B36" s="87">
        <v>1038</v>
      </c>
      <c r="C36" s="52">
        <v>3569</v>
      </c>
      <c r="D36" s="49">
        <v>4090</v>
      </c>
      <c r="E36" s="199">
        <v>3978</v>
      </c>
      <c r="F36" s="143">
        <f t="shared" si="0"/>
        <v>-112</v>
      </c>
      <c r="G36" s="143">
        <f t="shared" si="1"/>
        <v>97.26161369193153</v>
      </c>
    </row>
    <row r="37" spans="1:7" ht="15.75">
      <c r="A37" s="3" t="s">
        <v>21</v>
      </c>
      <c r="B37" s="87">
        <v>1039</v>
      </c>
      <c r="C37" s="52">
        <v>781</v>
      </c>
      <c r="D37" s="49">
        <v>899.8</v>
      </c>
      <c r="E37" s="199">
        <v>873</v>
      </c>
      <c r="F37" s="143">
        <f t="shared" si="0"/>
        <v>-26.799999999999955</v>
      </c>
      <c r="G37" s="143">
        <f t="shared" si="1"/>
        <v>97.02156034674373</v>
      </c>
    </row>
    <row r="38" spans="1:7" ht="45">
      <c r="A38" s="3" t="s">
        <v>148</v>
      </c>
      <c r="B38" s="87">
        <v>1040</v>
      </c>
      <c r="C38" s="52">
        <v>16</v>
      </c>
      <c r="D38" s="49">
        <v>14</v>
      </c>
      <c r="E38" s="199">
        <v>16</v>
      </c>
      <c r="F38" s="143">
        <f t="shared" si="0"/>
        <v>2</v>
      </c>
      <c r="G38" s="143">
        <f t="shared" si="1"/>
        <v>114.28571428571428</v>
      </c>
    </row>
    <row r="39" spans="1:7" ht="45">
      <c r="A39" s="3" t="s">
        <v>217</v>
      </c>
      <c r="B39" s="91">
        <v>1041</v>
      </c>
      <c r="C39" s="52"/>
      <c r="D39" s="49"/>
      <c r="E39" s="199"/>
      <c r="F39" s="143"/>
      <c r="G39" s="143"/>
    </row>
    <row r="40" spans="1:7" ht="30">
      <c r="A40" s="3" t="s">
        <v>218</v>
      </c>
      <c r="B40" s="91">
        <v>1042</v>
      </c>
      <c r="C40" s="52"/>
      <c r="D40" s="112"/>
      <c r="E40" s="199"/>
      <c r="F40" s="143"/>
      <c r="G40" s="143"/>
    </row>
    <row r="41" spans="1:7" ht="30">
      <c r="A41" s="3" t="s">
        <v>219</v>
      </c>
      <c r="B41" s="91">
        <v>1043</v>
      </c>
      <c r="C41" s="52"/>
      <c r="D41" s="112"/>
      <c r="E41" s="199"/>
      <c r="F41" s="143"/>
      <c r="G41" s="143"/>
    </row>
    <row r="42" spans="1:7" ht="15.75">
      <c r="A42" s="3" t="s">
        <v>220</v>
      </c>
      <c r="B42" s="91">
        <v>1044</v>
      </c>
      <c r="C42" s="52"/>
      <c r="D42" s="112"/>
      <c r="E42" s="199"/>
      <c r="F42" s="143"/>
      <c r="G42" s="143"/>
    </row>
    <row r="43" spans="1:7" ht="30">
      <c r="A43" s="3" t="s">
        <v>177</v>
      </c>
      <c r="B43" s="91">
        <v>1045</v>
      </c>
      <c r="C43" s="52">
        <v>89</v>
      </c>
      <c r="D43" s="49">
        <v>94.8</v>
      </c>
      <c r="E43" s="199">
        <v>90</v>
      </c>
      <c r="F43" s="143">
        <f t="shared" si="0"/>
        <v>-4.799999999999997</v>
      </c>
      <c r="G43" s="143">
        <f t="shared" si="1"/>
        <v>94.9367088607595</v>
      </c>
    </row>
    <row r="44" spans="1:7" ht="15.75">
      <c r="A44" s="3" t="s">
        <v>221</v>
      </c>
      <c r="B44" s="91">
        <v>1046</v>
      </c>
      <c r="C44" s="52"/>
      <c r="D44" s="49"/>
      <c r="E44" s="199"/>
      <c r="F44" s="143"/>
      <c r="G44" s="143"/>
    </row>
    <row r="45" spans="1:7" ht="15.75">
      <c r="A45" s="3" t="s">
        <v>222</v>
      </c>
      <c r="B45" s="91">
        <v>1047</v>
      </c>
      <c r="C45" s="52"/>
      <c r="D45" s="112"/>
      <c r="E45" s="199"/>
      <c r="F45" s="143"/>
      <c r="G45" s="143"/>
    </row>
    <row r="46" spans="1:7" ht="30">
      <c r="A46" s="3" t="s">
        <v>223</v>
      </c>
      <c r="B46" s="91">
        <v>1048</v>
      </c>
      <c r="C46" s="52"/>
      <c r="D46" s="112"/>
      <c r="E46" s="199"/>
      <c r="F46" s="143"/>
      <c r="G46" s="143"/>
    </row>
    <row r="47" spans="1:7" ht="45">
      <c r="A47" s="3" t="s">
        <v>224</v>
      </c>
      <c r="B47" s="91">
        <v>1049</v>
      </c>
      <c r="C47" s="52">
        <v>3</v>
      </c>
      <c r="D47" s="49">
        <v>30</v>
      </c>
      <c r="E47" s="199">
        <v>21</v>
      </c>
      <c r="F47" s="143">
        <f t="shared" si="0"/>
        <v>-9</v>
      </c>
      <c r="G47" s="143">
        <f t="shared" si="1"/>
        <v>70</v>
      </c>
    </row>
    <row r="48" spans="1:7" ht="60">
      <c r="A48" s="3" t="s">
        <v>201</v>
      </c>
      <c r="B48" s="87">
        <v>1050</v>
      </c>
      <c r="C48" s="52"/>
      <c r="D48" s="112"/>
      <c r="E48" s="199"/>
      <c r="F48" s="143"/>
      <c r="G48" s="143"/>
    </row>
    <row r="49" spans="1:7" ht="15.75">
      <c r="A49" s="3" t="s">
        <v>22</v>
      </c>
      <c r="B49" s="29" t="s">
        <v>23</v>
      </c>
      <c r="C49" s="52"/>
      <c r="D49" s="49"/>
      <c r="E49" s="199"/>
      <c r="F49" s="143"/>
      <c r="G49" s="143"/>
    </row>
    <row r="50" spans="1:7" ht="30">
      <c r="A50" s="93" t="s">
        <v>24</v>
      </c>
      <c r="B50" s="94">
        <v>1051</v>
      </c>
      <c r="C50" s="114">
        <v>323</v>
      </c>
      <c r="D50" s="114">
        <v>329.4</v>
      </c>
      <c r="E50" s="200">
        <f>SUM(E51:E60)</f>
        <v>399</v>
      </c>
      <c r="F50" s="144">
        <f t="shared" si="0"/>
        <v>69.60000000000002</v>
      </c>
      <c r="G50" s="144">
        <f t="shared" si="1"/>
        <v>121.12932604735884</v>
      </c>
    </row>
    <row r="51" spans="1:7" ht="15.75">
      <c r="A51" s="3" t="s">
        <v>199</v>
      </c>
      <c r="B51" s="29" t="s">
        <v>225</v>
      </c>
      <c r="C51" s="55">
        <v>79</v>
      </c>
      <c r="D51" s="229">
        <v>68.8</v>
      </c>
      <c r="E51" s="199">
        <v>96</v>
      </c>
      <c r="F51" s="143">
        <f t="shared" si="0"/>
        <v>27.200000000000003</v>
      </c>
      <c r="G51" s="143">
        <f t="shared" si="1"/>
        <v>139.53488372093022</v>
      </c>
    </row>
    <row r="52" spans="1:7" ht="15.75">
      <c r="A52" s="3" t="s">
        <v>159</v>
      </c>
      <c r="B52" s="29" t="s">
        <v>226</v>
      </c>
      <c r="C52" s="55">
        <v>34</v>
      </c>
      <c r="D52" s="51">
        <v>35</v>
      </c>
      <c r="E52" s="199">
        <v>42</v>
      </c>
      <c r="F52" s="143">
        <f t="shared" si="0"/>
        <v>7</v>
      </c>
      <c r="G52" s="143">
        <f t="shared" si="1"/>
        <v>120</v>
      </c>
    </row>
    <row r="53" spans="1:7" ht="15.75">
      <c r="A53" s="3" t="s">
        <v>202</v>
      </c>
      <c r="B53" s="29" t="s">
        <v>227</v>
      </c>
      <c r="C53" s="55">
        <v>4</v>
      </c>
      <c r="D53" s="51">
        <v>4</v>
      </c>
      <c r="E53" s="199">
        <v>3</v>
      </c>
      <c r="F53" s="143">
        <f t="shared" si="0"/>
        <v>-1</v>
      </c>
      <c r="G53" s="143">
        <f t="shared" si="1"/>
        <v>75</v>
      </c>
    </row>
    <row r="54" spans="1:7" ht="15.75">
      <c r="A54" s="3" t="s">
        <v>160</v>
      </c>
      <c r="B54" s="29" t="s">
        <v>228</v>
      </c>
      <c r="C54" s="55">
        <v>24</v>
      </c>
      <c r="D54" s="51">
        <v>12.4</v>
      </c>
      <c r="E54" s="199">
        <v>12</v>
      </c>
      <c r="F54" s="143">
        <f t="shared" si="0"/>
        <v>-0.40000000000000036</v>
      </c>
      <c r="G54" s="143">
        <f t="shared" si="1"/>
        <v>96.77419354838709</v>
      </c>
    </row>
    <row r="55" spans="1:7" ht="15.75">
      <c r="A55" s="3" t="s">
        <v>200</v>
      </c>
      <c r="B55" s="29" t="s">
        <v>229</v>
      </c>
      <c r="C55" s="55">
        <v>6</v>
      </c>
      <c r="D55" s="51">
        <v>4.4</v>
      </c>
      <c r="E55" s="199">
        <v>9</v>
      </c>
      <c r="F55" s="143">
        <f t="shared" si="0"/>
        <v>4.6</v>
      </c>
      <c r="G55" s="143">
        <f t="shared" si="1"/>
        <v>204.54545454545453</v>
      </c>
    </row>
    <row r="56" spans="1:7" ht="15.75">
      <c r="A56" s="3" t="s">
        <v>197</v>
      </c>
      <c r="B56" s="29" t="s">
        <v>230</v>
      </c>
      <c r="C56" s="55"/>
      <c r="D56" s="51"/>
      <c r="E56" s="199"/>
      <c r="F56" s="143"/>
      <c r="G56" s="143"/>
    </row>
    <row r="57" spans="1:7" ht="15.75">
      <c r="A57" s="3" t="s">
        <v>161</v>
      </c>
      <c r="B57" s="29" t="s">
        <v>231</v>
      </c>
      <c r="C57" s="55">
        <v>86</v>
      </c>
      <c r="D57" s="51">
        <v>66.8</v>
      </c>
      <c r="E57" s="199">
        <v>126</v>
      </c>
      <c r="F57" s="143">
        <f t="shared" si="0"/>
        <v>59.2</v>
      </c>
      <c r="G57" s="143">
        <f t="shared" si="1"/>
        <v>188.622754491018</v>
      </c>
    </row>
    <row r="58" spans="1:7" ht="15.75">
      <c r="A58" s="3" t="s">
        <v>205</v>
      </c>
      <c r="B58" s="29" t="s">
        <v>232</v>
      </c>
      <c r="C58" s="55">
        <v>78</v>
      </c>
      <c r="D58" s="53">
        <v>78</v>
      </c>
      <c r="E58" s="199">
        <v>84</v>
      </c>
      <c r="F58" s="143">
        <f t="shared" si="0"/>
        <v>6</v>
      </c>
      <c r="G58" s="143">
        <f t="shared" si="1"/>
        <v>107.6923076923077</v>
      </c>
    </row>
    <row r="59" spans="1:7" ht="15.75">
      <c r="A59" s="3" t="s">
        <v>206</v>
      </c>
      <c r="B59" s="29" t="s">
        <v>233</v>
      </c>
      <c r="C59" s="55">
        <v>12</v>
      </c>
      <c r="D59" s="79">
        <v>60</v>
      </c>
      <c r="E59" s="199">
        <v>27</v>
      </c>
      <c r="F59" s="143">
        <f t="shared" si="0"/>
        <v>-33</v>
      </c>
      <c r="G59" s="143">
        <f t="shared" si="1"/>
        <v>45</v>
      </c>
    </row>
    <row r="60" spans="1:7" ht="30">
      <c r="A60" s="3" t="s">
        <v>256</v>
      </c>
      <c r="B60" s="29" t="s">
        <v>257</v>
      </c>
      <c r="C60" s="55"/>
      <c r="D60" s="79"/>
      <c r="E60" s="79"/>
      <c r="F60" s="143"/>
      <c r="G60" s="143"/>
    </row>
    <row r="61" spans="1:7" ht="15.75">
      <c r="A61" s="3" t="s">
        <v>25</v>
      </c>
      <c r="B61" s="87">
        <v>1060</v>
      </c>
      <c r="C61" s="55"/>
      <c r="D61" s="54"/>
      <c r="E61" s="54"/>
      <c r="F61" s="143"/>
      <c r="G61" s="143"/>
    </row>
    <row r="62" spans="1:7" ht="15.75">
      <c r="A62" s="3" t="s">
        <v>26</v>
      </c>
      <c r="B62" s="87">
        <v>1061</v>
      </c>
      <c r="C62" s="55"/>
      <c r="D62" s="55"/>
      <c r="E62" s="55"/>
      <c r="F62" s="143"/>
      <c r="G62" s="143"/>
    </row>
    <row r="63" spans="1:7" ht="15.75">
      <c r="A63" s="3" t="s">
        <v>27</v>
      </c>
      <c r="B63" s="87">
        <v>1062</v>
      </c>
      <c r="C63" s="55"/>
      <c r="D63" s="56"/>
      <c r="E63" s="56"/>
      <c r="F63" s="143"/>
      <c r="G63" s="143"/>
    </row>
    <row r="64" spans="1:7" ht="15.75">
      <c r="A64" s="3" t="s">
        <v>20</v>
      </c>
      <c r="B64" s="87">
        <v>1063</v>
      </c>
      <c r="C64" s="55"/>
      <c r="D64" s="56"/>
      <c r="E64" s="56"/>
      <c r="F64" s="143"/>
      <c r="G64" s="143"/>
    </row>
    <row r="65" spans="1:7" ht="15.75">
      <c r="A65" s="3" t="s">
        <v>21</v>
      </c>
      <c r="B65" s="87">
        <v>1064</v>
      </c>
      <c r="C65" s="55"/>
      <c r="D65" s="56"/>
      <c r="E65" s="56"/>
      <c r="F65" s="143"/>
      <c r="G65" s="143"/>
    </row>
    <row r="66" spans="1:7" ht="30">
      <c r="A66" s="3" t="s">
        <v>28</v>
      </c>
      <c r="B66" s="87">
        <v>1065</v>
      </c>
      <c r="C66" s="55"/>
      <c r="D66" s="55"/>
      <c r="E66" s="55"/>
      <c r="F66" s="143"/>
      <c r="G66" s="143"/>
    </row>
    <row r="67" spans="1:7" ht="15.75">
      <c r="A67" s="3" t="s">
        <v>29</v>
      </c>
      <c r="B67" s="87">
        <v>1066</v>
      </c>
      <c r="C67" s="55"/>
      <c r="D67" s="56"/>
      <c r="E67" s="56"/>
      <c r="F67" s="143"/>
      <c r="G67" s="143"/>
    </row>
    <row r="68" spans="1:7" ht="15.75">
      <c r="A68" s="33" t="s">
        <v>30</v>
      </c>
      <c r="B68" s="80">
        <v>1067</v>
      </c>
      <c r="C68" s="52"/>
      <c r="D68" s="59"/>
      <c r="E68" s="59"/>
      <c r="F68" s="143"/>
      <c r="G68" s="143"/>
    </row>
    <row r="69" spans="1:7" ht="28.5">
      <c r="A69" s="96" t="s">
        <v>146</v>
      </c>
      <c r="B69" s="97">
        <v>1070</v>
      </c>
      <c r="C69" s="100">
        <v>4864</v>
      </c>
      <c r="D69" s="100">
        <f>3865+8663</f>
        <v>12528</v>
      </c>
      <c r="E69" s="100">
        <f>SUM(E70:E77)</f>
        <v>5667</v>
      </c>
      <c r="F69" s="101">
        <f t="shared" si="0"/>
        <v>-6861</v>
      </c>
      <c r="G69" s="101">
        <f t="shared" si="1"/>
        <v>45.234674329501914</v>
      </c>
    </row>
    <row r="70" spans="1:7" ht="15.75">
      <c r="A70" s="33" t="s">
        <v>190</v>
      </c>
      <c r="B70" s="81" t="s">
        <v>166</v>
      </c>
      <c r="C70" s="61">
        <v>2111</v>
      </c>
      <c r="D70" s="57">
        <v>2280</v>
      </c>
      <c r="E70" s="199">
        <v>2384</v>
      </c>
      <c r="F70" s="143">
        <f t="shared" si="0"/>
        <v>104</v>
      </c>
      <c r="G70" s="143">
        <f t="shared" si="1"/>
        <v>104.56140350877192</v>
      </c>
    </row>
    <row r="71" spans="1:7" ht="15.75">
      <c r="A71" s="33" t="s">
        <v>59</v>
      </c>
      <c r="B71" s="81" t="s">
        <v>167</v>
      </c>
      <c r="C71" s="61">
        <v>1299</v>
      </c>
      <c r="D71" s="57">
        <v>912</v>
      </c>
      <c r="E71" s="199">
        <f>1500-E77</f>
        <v>979</v>
      </c>
      <c r="F71" s="143">
        <f t="shared" si="0"/>
        <v>67</v>
      </c>
      <c r="G71" s="143">
        <f t="shared" si="1"/>
        <v>107.34649122807018</v>
      </c>
    </row>
    <row r="72" spans="1:7" ht="15.75">
      <c r="A72" s="33" t="s">
        <v>162</v>
      </c>
      <c r="B72" s="81" t="s">
        <v>168</v>
      </c>
      <c r="C72" s="61"/>
      <c r="D72" s="57"/>
      <c r="E72" s="199">
        <v>17</v>
      </c>
      <c r="F72" s="143">
        <f t="shared" si="0"/>
        <v>17</v>
      </c>
      <c r="G72" s="143"/>
    </row>
    <row r="73" spans="1:7" ht="15.75">
      <c r="A73" s="33" t="s">
        <v>215</v>
      </c>
      <c r="B73" s="29" t="s">
        <v>169</v>
      </c>
      <c r="C73" s="61">
        <v>1297</v>
      </c>
      <c r="D73" s="57">
        <f>3865+3700</f>
        <v>7565</v>
      </c>
      <c r="E73" s="199">
        <v>180</v>
      </c>
      <c r="F73" s="143">
        <f t="shared" si="0"/>
        <v>-7385</v>
      </c>
      <c r="G73" s="143">
        <f t="shared" si="1"/>
        <v>2.3793787177792467</v>
      </c>
    </row>
    <row r="74" spans="1:7" ht="30">
      <c r="A74" s="33" t="s">
        <v>310</v>
      </c>
      <c r="B74" s="29" t="s">
        <v>164</v>
      </c>
      <c r="C74" s="61">
        <v>14</v>
      </c>
      <c r="D74" s="57"/>
      <c r="E74" s="199">
        <f>5+11</f>
        <v>16</v>
      </c>
      <c r="F74" s="143">
        <f t="shared" si="0"/>
        <v>16</v>
      </c>
      <c r="G74" s="143"/>
    </row>
    <row r="75" spans="1:7" ht="15.75">
      <c r="A75" s="33" t="s">
        <v>163</v>
      </c>
      <c r="B75" s="29" t="s">
        <v>170</v>
      </c>
      <c r="C75" s="48"/>
      <c r="D75" s="57"/>
      <c r="E75" s="199">
        <v>2</v>
      </c>
      <c r="F75" s="143">
        <f t="shared" si="0"/>
        <v>2</v>
      </c>
      <c r="G75" s="143"/>
    </row>
    <row r="76" spans="1:7" ht="15.75">
      <c r="A76" s="33" t="s">
        <v>207</v>
      </c>
      <c r="B76" s="29" t="s">
        <v>216</v>
      </c>
      <c r="C76" s="205">
        <v>143</v>
      </c>
      <c r="D76" s="209">
        <v>1250</v>
      </c>
      <c r="E76" s="199">
        <f>1561+7</f>
        <v>1568</v>
      </c>
      <c r="F76" s="143">
        <f t="shared" si="0"/>
        <v>318</v>
      </c>
      <c r="G76" s="143">
        <f t="shared" si="1"/>
        <v>125.44</v>
      </c>
    </row>
    <row r="77" spans="1:7" ht="15.75">
      <c r="A77" s="33" t="s">
        <v>304</v>
      </c>
      <c r="B77" s="29" t="s">
        <v>305</v>
      </c>
      <c r="C77" s="205"/>
      <c r="D77" s="209">
        <v>521</v>
      </c>
      <c r="E77" s="199">
        <v>521</v>
      </c>
      <c r="F77" s="143">
        <f>E77-D77</f>
        <v>0</v>
      </c>
      <c r="G77" s="143"/>
    </row>
    <row r="78" spans="1:7" s="37" customFormat="1" ht="28.5">
      <c r="A78" s="103" t="s">
        <v>198</v>
      </c>
      <c r="B78" s="97">
        <v>1080</v>
      </c>
      <c r="C78" s="102">
        <v>3803</v>
      </c>
      <c r="D78" s="102">
        <f>SUM(D79:D85)</f>
        <v>11529</v>
      </c>
      <c r="E78" s="102">
        <f>SUM(E79:E85)</f>
        <v>4718</v>
      </c>
      <c r="F78" s="101">
        <f aca="true" t="shared" si="2" ref="F78:F112">E78-D78</f>
        <v>-6811</v>
      </c>
      <c r="G78" s="101">
        <f aca="true" t="shared" si="3" ref="G78:G112">E78/D78*100</f>
        <v>40.92289010321797</v>
      </c>
    </row>
    <row r="79" spans="1:7" ht="15.75">
      <c r="A79" s="3" t="s">
        <v>189</v>
      </c>
      <c r="B79" s="14" t="s">
        <v>180</v>
      </c>
      <c r="C79" s="55">
        <v>2123</v>
      </c>
      <c r="D79" s="57">
        <v>2280</v>
      </c>
      <c r="E79" s="199">
        <v>2364</v>
      </c>
      <c r="F79" s="143">
        <f t="shared" si="2"/>
        <v>84</v>
      </c>
      <c r="G79" s="143">
        <f t="shared" si="3"/>
        <v>103.68421052631578</v>
      </c>
    </row>
    <row r="80" spans="1:7" ht="15.75">
      <c r="A80" s="33" t="s">
        <v>215</v>
      </c>
      <c r="B80" s="14" t="s">
        <v>181</v>
      </c>
      <c r="C80" s="55">
        <v>1286</v>
      </c>
      <c r="D80" s="57">
        <v>7565</v>
      </c>
      <c r="E80" s="199">
        <v>180</v>
      </c>
      <c r="F80" s="143">
        <f t="shared" si="2"/>
        <v>-7385</v>
      </c>
      <c r="G80" s="143">
        <f t="shared" si="3"/>
        <v>2.3793787177792467</v>
      </c>
    </row>
    <row r="81" spans="1:7" ht="15.75">
      <c r="A81" s="3" t="s">
        <v>208</v>
      </c>
      <c r="B81" s="14" t="s">
        <v>182</v>
      </c>
      <c r="C81" s="55"/>
      <c r="D81" s="57"/>
      <c r="E81" s="199">
        <v>17</v>
      </c>
      <c r="F81" s="143">
        <f t="shared" si="2"/>
        <v>17</v>
      </c>
      <c r="G81" s="143"/>
    </row>
    <row r="82" spans="1:7" ht="15.75">
      <c r="A82" s="3" t="s">
        <v>209</v>
      </c>
      <c r="B82" s="14" t="s">
        <v>183</v>
      </c>
      <c r="C82" s="55">
        <v>155</v>
      </c>
      <c r="D82" s="57">
        <v>1250</v>
      </c>
      <c r="E82" s="199">
        <v>1649</v>
      </c>
      <c r="F82" s="143">
        <f t="shared" si="2"/>
        <v>399</v>
      </c>
      <c r="G82" s="143">
        <f t="shared" si="3"/>
        <v>131.92</v>
      </c>
    </row>
    <row r="83" spans="1:7" ht="15.75">
      <c r="A83" s="3" t="s">
        <v>195</v>
      </c>
      <c r="B83" s="14" t="s">
        <v>184</v>
      </c>
      <c r="C83" s="55">
        <v>238</v>
      </c>
      <c r="D83" s="57">
        <v>100</v>
      </c>
      <c r="E83" s="199">
        <v>112</v>
      </c>
      <c r="F83" s="143">
        <f t="shared" si="2"/>
        <v>12</v>
      </c>
      <c r="G83" s="143">
        <f t="shared" si="3"/>
        <v>112.00000000000001</v>
      </c>
    </row>
    <row r="84" spans="1:7" ht="15.75">
      <c r="A84" s="3" t="s">
        <v>196</v>
      </c>
      <c r="B84" s="14" t="s">
        <v>210</v>
      </c>
      <c r="C84" s="55">
        <v>1</v>
      </c>
      <c r="D84" s="79"/>
      <c r="E84" s="199"/>
      <c r="F84" s="143">
        <f t="shared" si="2"/>
        <v>0</v>
      </c>
      <c r="G84" s="143"/>
    </row>
    <row r="85" spans="1:7" ht="30">
      <c r="A85" s="3" t="s">
        <v>306</v>
      </c>
      <c r="B85" s="14" t="s">
        <v>307</v>
      </c>
      <c r="C85" s="55">
        <v>191</v>
      </c>
      <c r="D85" s="57">
        <v>334</v>
      </c>
      <c r="E85" s="199">
        <v>396</v>
      </c>
      <c r="F85" s="143">
        <f t="shared" si="2"/>
        <v>62</v>
      </c>
      <c r="G85" s="143">
        <f t="shared" si="3"/>
        <v>118.562874251497</v>
      </c>
    </row>
    <row r="86" spans="1:7" ht="15.75">
      <c r="A86" s="93" t="s">
        <v>158</v>
      </c>
      <c r="B86" s="104" t="s">
        <v>258</v>
      </c>
      <c r="C86" s="105"/>
      <c r="D86" s="105">
        <v>140.23476000000034</v>
      </c>
      <c r="E86" s="105">
        <f>(E96-E97)*0.15</f>
        <v>496.30499999999995</v>
      </c>
      <c r="F86" s="144">
        <f t="shared" si="2"/>
        <v>356.0702399999996</v>
      </c>
      <c r="G86" s="144">
        <f t="shared" si="3"/>
        <v>353.9101147247649</v>
      </c>
    </row>
    <row r="87" spans="1:7" s="37" customFormat="1" ht="28.5">
      <c r="A87" s="96" t="s">
        <v>31</v>
      </c>
      <c r="B87" s="97">
        <v>1100</v>
      </c>
      <c r="C87" s="106">
        <v>1538</v>
      </c>
      <c r="D87" s="115">
        <f>D12-D13-D28+D69-D78</f>
        <v>1140.1200000000008</v>
      </c>
      <c r="E87" s="115">
        <f>E27-E28+E69-E78</f>
        <v>4037</v>
      </c>
      <c r="F87" s="101">
        <f t="shared" si="2"/>
        <v>2896.879999999999</v>
      </c>
      <c r="G87" s="101">
        <f t="shared" si="3"/>
        <v>354.08553485597986</v>
      </c>
    </row>
    <row r="88" spans="1:7" ht="30">
      <c r="A88" s="3" t="s">
        <v>32</v>
      </c>
      <c r="B88" s="87">
        <v>1110</v>
      </c>
      <c r="C88" s="55"/>
      <c r="D88" s="55"/>
      <c r="E88" s="55"/>
      <c r="F88" s="143"/>
      <c r="G88" s="143"/>
    </row>
    <row r="89" spans="1:7" ht="30">
      <c r="A89" s="3" t="s">
        <v>33</v>
      </c>
      <c r="B89" s="87">
        <v>1120</v>
      </c>
      <c r="C89" s="55"/>
      <c r="D89" s="55"/>
      <c r="E89" s="55"/>
      <c r="F89" s="143"/>
      <c r="G89" s="143"/>
    </row>
    <row r="90" spans="1:7" ht="7.5" customHeight="1" hidden="1">
      <c r="A90" s="3"/>
      <c r="B90" s="87"/>
      <c r="C90" s="55"/>
      <c r="D90" s="59">
        <v>1140.1200000000008</v>
      </c>
      <c r="E90" s="59"/>
      <c r="F90" s="143"/>
      <c r="G90" s="143"/>
    </row>
    <row r="91" spans="1:7" ht="8.25" customHeight="1" hidden="1">
      <c r="A91" s="3"/>
      <c r="B91" s="87"/>
      <c r="C91" s="55"/>
      <c r="D91" s="55">
        <v>1140.1200000000008</v>
      </c>
      <c r="E91" s="55"/>
      <c r="F91" s="143"/>
      <c r="G91" s="143"/>
    </row>
    <row r="92" spans="1:7" ht="15.75">
      <c r="A92" s="3" t="s">
        <v>34</v>
      </c>
      <c r="B92" s="87">
        <v>1130</v>
      </c>
      <c r="C92" s="55"/>
      <c r="D92" s="58"/>
      <c r="E92" s="58"/>
      <c r="F92" s="143"/>
      <c r="G92" s="143"/>
    </row>
    <row r="93" spans="1:7" ht="15.75">
      <c r="A93" s="3" t="s">
        <v>35</v>
      </c>
      <c r="B93" s="87">
        <v>1140</v>
      </c>
      <c r="C93" s="55"/>
      <c r="D93" s="59"/>
      <c r="E93" s="59"/>
      <c r="F93" s="143"/>
      <c r="G93" s="143"/>
    </row>
    <row r="94" spans="1:7" s="37" customFormat="1" ht="15.75">
      <c r="A94" s="96" t="s">
        <v>171</v>
      </c>
      <c r="B94" s="97">
        <v>1150</v>
      </c>
      <c r="C94" s="102">
        <v>3650</v>
      </c>
      <c r="D94" s="102">
        <v>3402</v>
      </c>
      <c r="E94" s="208">
        <v>2881</v>
      </c>
      <c r="F94" s="101">
        <f t="shared" si="2"/>
        <v>-521</v>
      </c>
      <c r="G94" s="101">
        <f t="shared" si="3"/>
        <v>84.68547912992358</v>
      </c>
    </row>
    <row r="95" spans="1:7" s="37" customFormat="1" ht="15.75">
      <c r="A95" s="96" t="s">
        <v>172</v>
      </c>
      <c r="B95" s="97">
        <v>1160</v>
      </c>
      <c r="C95" s="102">
        <v>3637</v>
      </c>
      <c r="D95" s="107">
        <v>3402</v>
      </c>
      <c r="E95" s="208">
        <v>2883</v>
      </c>
      <c r="F95" s="101">
        <f t="shared" si="2"/>
        <v>-519</v>
      </c>
      <c r="G95" s="101">
        <f t="shared" si="3"/>
        <v>84.74426807760142</v>
      </c>
    </row>
    <row r="96" spans="1:7" s="37" customFormat="1" ht="28.5">
      <c r="A96" s="96" t="s">
        <v>36</v>
      </c>
      <c r="B96" s="97">
        <v>1170</v>
      </c>
      <c r="C96" s="102">
        <v>1551</v>
      </c>
      <c r="D96" s="102">
        <f>D12-D13-D28+D69-D78+D94-D95</f>
        <v>1140.1200000000008</v>
      </c>
      <c r="E96" s="102">
        <f>E102-E103</f>
        <v>4035</v>
      </c>
      <c r="F96" s="101">
        <f t="shared" si="2"/>
        <v>2894.879999999999</v>
      </c>
      <c r="G96" s="101">
        <f t="shared" si="3"/>
        <v>353.91011472476555</v>
      </c>
    </row>
    <row r="97" spans="1:7" ht="15.75">
      <c r="A97" s="3" t="s">
        <v>37</v>
      </c>
      <c r="B97" s="14">
        <v>1180</v>
      </c>
      <c r="C97" s="57">
        <v>279.18</v>
      </c>
      <c r="D97" s="57">
        <v>205.22160000000045</v>
      </c>
      <c r="E97" s="57">
        <f>E96*0.18</f>
        <v>726.3</v>
      </c>
      <c r="F97" s="143">
        <f t="shared" si="2"/>
        <v>521.0783999999995</v>
      </c>
      <c r="G97" s="143">
        <f t="shared" si="3"/>
        <v>353.91011472476504</v>
      </c>
    </row>
    <row r="98" spans="1:7" ht="15.75">
      <c r="A98" s="3" t="s">
        <v>38</v>
      </c>
      <c r="B98" s="14">
        <v>1181</v>
      </c>
      <c r="C98" s="55"/>
      <c r="D98" s="55"/>
      <c r="E98" s="55"/>
      <c r="F98" s="143"/>
      <c r="G98" s="143"/>
    </row>
    <row r="99" spans="1:7" s="37" customFormat="1" ht="28.5">
      <c r="A99" s="96" t="s">
        <v>39</v>
      </c>
      <c r="B99" s="97">
        <v>1200</v>
      </c>
      <c r="C99" s="102">
        <v>1271.82</v>
      </c>
      <c r="D99" s="59">
        <v>934.8984000000022</v>
      </c>
      <c r="E99" s="102">
        <f>E100</f>
        <v>3308.7</v>
      </c>
      <c r="F99" s="101">
        <f t="shared" si="2"/>
        <v>2373.8015999999975</v>
      </c>
      <c r="G99" s="101">
        <f t="shared" si="3"/>
        <v>353.910114724765</v>
      </c>
    </row>
    <row r="100" spans="1:7" ht="15.75">
      <c r="A100" s="3" t="s">
        <v>40</v>
      </c>
      <c r="B100" s="29">
        <v>1201</v>
      </c>
      <c r="C100" s="55">
        <v>1271.82</v>
      </c>
      <c r="D100" s="55">
        <v>934.8984000000022</v>
      </c>
      <c r="E100" s="55">
        <f>E96-E97</f>
        <v>3308.7</v>
      </c>
      <c r="F100" s="143">
        <f t="shared" si="2"/>
        <v>2373.8015999999975</v>
      </c>
      <c r="G100" s="143">
        <f t="shared" si="3"/>
        <v>353.910114724765</v>
      </c>
    </row>
    <row r="101" spans="1:7" ht="15.75">
      <c r="A101" s="3" t="s">
        <v>41</v>
      </c>
      <c r="B101" s="29">
        <v>1202</v>
      </c>
      <c r="C101" s="55"/>
      <c r="D101" s="58"/>
      <c r="E101" s="58"/>
      <c r="F101" s="143"/>
      <c r="G101" s="143"/>
    </row>
    <row r="102" spans="1:7" s="37" customFormat="1" ht="15.75">
      <c r="A102" s="96" t="s">
        <v>42</v>
      </c>
      <c r="B102" s="97">
        <v>1210</v>
      </c>
      <c r="C102" s="102">
        <v>36873</v>
      </c>
      <c r="D102" s="102">
        <f>D94+D69+D12</f>
        <v>47938</v>
      </c>
      <c r="E102" s="102">
        <f>E94+E69+E12</f>
        <v>40463</v>
      </c>
      <c r="F102" s="101">
        <f t="shared" si="2"/>
        <v>-7475</v>
      </c>
      <c r="G102" s="101">
        <f t="shared" si="3"/>
        <v>84.40694230047144</v>
      </c>
    </row>
    <row r="103" spans="1:7" s="37" customFormat="1" ht="15.75">
      <c r="A103" s="96" t="s">
        <v>43</v>
      </c>
      <c r="B103" s="97">
        <v>1220</v>
      </c>
      <c r="C103" s="102">
        <v>35322</v>
      </c>
      <c r="D103" s="102">
        <f>D95+D78+D28+D13</f>
        <v>46797.88</v>
      </c>
      <c r="E103" s="102">
        <f>E95+E78+E28+E13</f>
        <v>36428</v>
      </c>
      <c r="F103" s="101">
        <f t="shared" si="2"/>
        <v>-10369.879999999997</v>
      </c>
      <c r="G103" s="101">
        <f t="shared" si="3"/>
        <v>77.8411329743997</v>
      </c>
    </row>
    <row r="104" spans="1:7" ht="14.25" customHeight="1">
      <c r="A104" s="259" t="s">
        <v>135</v>
      </c>
      <c r="B104" s="260"/>
      <c r="C104" s="260"/>
      <c r="D104" s="260"/>
      <c r="E104" s="260"/>
      <c r="F104" s="260"/>
      <c r="G104" s="261"/>
    </row>
    <row r="105" spans="1:7" s="37" customFormat="1" ht="15.75">
      <c r="A105" s="108" t="s">
        <v>147</v>
      </c>
      <c r="B105" s="97">
        <v>1300</v>
      </c>
      <c r="C105" s="98">
        <v>7161</v>
      </c>
      <c r="D105" s="100">
        <v>8832.7798</v>
      </c>
      <c r="E105" s="100">
        <f>E106+E107</f>
        <v>7474</v>
      </c>
      <c r="F105" s="101">
        <f t="shared" si="2"/>
        <v>-1358.7798000000003</v>
      </c>
      <c r="G105" s="101">
        <f t="shared" si="3"/>
        <v>84.61662318356447</v>
      </c>
    </row>
    <row r="106" spans="1:7" ht="30">
      <c r="A106" s="3" t="s">
        <v>6</v>
      </c>
      <c r="B106" s="29">
        <v>1301</v>
      </c>
      <c r="C106" s="61">
        <v>1737</v>
      </c>
      <c r="D106" s="61">
        <v>1678.6448</v>
      </c>
      <c r="E106" s="61">
        <v>1779</v>
      </c>
      <c r="F106" s="143">
        <f t="shared" si="2"/>
        <v>100.35519999999997</v>
      </c>
      <c r="G106" s="143">
        <f t="shared" si="3"/>
        <v>105.97834634223989</v>
      </c>
    </row>
    <row r="107" spans="1:7" ht="15.75">
      <c r="A107" s="3" t="s">
        <v>203</v>
      </c>
      <c r="B107" s="29">
        <v>1302</v>
      </c>
      <c r="C107" s="61">
        <v>5424</v>
      </c>
      <c r="D107" s="61">
        <v>7154.135</v>
      </c>
      <c r="E107" s="213">
        <f>3329+2366</f>
        <v>5695</v>
      </c>
      <c r="F107" s="143">
        <f t="shared" si="2"/>
        <v>-1459.1350000000002</v>
      </c>
      <c r="G107" s="143">
        <f t="shared" si="3"/>
        <v>79.60431275059808</v>
      </c>
    </row>
    <row r="108" spans="1:10" ht="15.75">
      <c r="A108" s="3" t="s">
        <v>9</v>
      </c>
      <c r="B108" s="87">
        <v>1310</v>
      </c>
      <c r="C108" s="61">
        <v>15828</v>
      </c>
      <c r="D108" s="62">
        <v>17250</v>
      </c>
      <c r="E108" s="62">
        <f>'V ОП'!E10</f>
        <v>15510</v>
      </c>
      <c r="F108" s="143">
        <f t="shared" si="2"/>
        <v>-1740</v>
      </c>
      <c r="G108" s="143">
        <f t="shared" si="3"/>
        <v>89.91304347826087</v>
      </c>
      <c r="I108" s="212"/>
      <c r="J108" s="212"/>
    </row>
    <row r="109" spans="1:7" ht="15.75">
      <c r="A109" s="3" t="s">
        <v>10</v>
      </c>
      <c r="B109" s="87">
        <v>1320</v>
      </c>
      <c r="C109" s="61">
        <v>3403</v>
      </c>
      <c r="D109" s="113">
        <v>3795</v>
      </c>
      <c r="E109" s="113">
        <f>'V ОП'!E18-'V ОП'!E10</f>
        <v>3308</v>
      </c>
      <c r="F109" s="143">
        <f t="shared" si="2"/>
        <v>-487</v>
      </c>
      <c r="G109" s="143">
        <f t="shared" si="3"/>
        <v>87.167325428195</v>
      </c>
    </row>
    <row r="110" spans="1:7" ht="15.75">
      <c r="A110" s="3" t="s">
        <v>136</v>
      </c>
      <c r="B110" s="87">
        <v>1330</v>
      </c>
      <c r="C110" s="61">
        <v>3830</v>
      </c>
      <c r="D110" s="61">
        <v>3434</v>
      </c>
      <c r="E110" s="61">
        <v>3153</v>
      </c>
      <c r="F110" s="143">
        <f t="shared" si="2"/>
        <v>-281</v>
      </c>
      <c r="G110" s="143">
        <f t="shared" si="3"/>
        <v>91.81712288875946</v>
      </c>
    </row>
    <row r="111" spans="1:7" ht="15.75">
      <c r="A111" s="3" t="s">
        <v>137</v>
      </c>
      <c r="B111" s="87">
        <v>1340</v>
      </c>
      <c r="C111" s="61">
        <v>5100</v>
      </c>
      <c r="D111" s="205">
        <f>3865+9621</f>
        <v>13486</v>
      </c>
      <c r="E111" s="60">
        <v>6983</v>
      </c>
      <c r="F111" s="143">
        <f t="shared" si="2"/>
        <v>-6503</v>
      </c>
      <c r="G111" s="143">
        <f t="shared" si="3"/>
        <v>51.7796233130654</v>
      </c>
    </row>
    <row r="112" spans="1:7" s="37" customFormat="1" ht="15.75">
      <c r="A112" s="96" t="s">
        <v>138</v>
      </c>
      <c r="B112" s="97">
        <v>1350</v>
      </c>
      <c r="C112" s="145">
        <v>35322</v>
      </c>
      <c r="D112" s="115">
        <f>SUM(D106:D111)</f>
        <v>46797.779800000004</v>
      </c>
      <c r="E112" s="115">
        <f>SUM(E106:E111)</f>
        <v>36428</v>
      </c>
      <c r="F112" s="101">
        <f t="shared" si="2"/>
        <v>-10369.779800000004</v>
      </c>
      <c r="G112" s="101">
        <f t="shared" si="3"/>
        <v>77.84129964216805</v>
      </c>
    </row>
    <row r="113" spans="3:7" ht="15.75">
      <c r="C113" s="47"/>
      <c r="D113" s="89"/>
      <c r="E113" s="89"/>
      <c r="F113" s="89"/>
      <c r="G113" s="89"/>
    </row>
    <row r="114" ht="15.75">
      <c r="C114" s="47"/>
    </row>
    <row r="115" spans="1:8" s="69" customFormat="1" ht="15">
      <c r="A115" s="8" t="s">
        <v>178</v>
      </c>
      <c r="B115" s="254" t="s">
        <v>294</v>
      </c>
      <c r="C115" s="255"/>
      <c r="D115" s="255"/>
      <c r="E115" s="256"/>
      <c r="F115" s="256"/>
      <c r="G115" s="272"/>
      <c r="H115" s="183"/>
    </row>
    <row r="116" spans="1:8" s="69" customFormat="1" ht="15">
      <c r="A116" s="8"/>
      <c r="B116" s="39"/>
      <c r="C116" s="40"/>
      <c r="D116" s="40"/>
      <c r="E116" s="183"/>
      <c r="F116" s="183"/>
      <c r="G116" s="183"/>
      <c r="H116" s="183"/>
    </row>
    <row r="117" spans="1:8" s="69" customFormat="1" ht="18" customHeight="1">
      <c r="A117" s="8" t="s">
        <v>143</v>
      </c>
      <c r="B117" s="254" t="s">
        <v>289</v>
      </c>
      <c r="C117" s="255"/>
      <c r="D117" s="255"/>
      <c r="E117" s="256"/>
      <c r="F117" s="256"/>
      <c r="G117" s="183"/>
      <c r="H117" s="183"/>
    </row>
  </sheetData>
  <sheetProtection/>
  <mergeCells count="15">
    <mergeCell ref="B8:B9"/>
    <mergeCell ref="C8:C9"/>
    <mergeCell ref="D8:D9"/>
    <mergeCell ref="E8:E9"/>
    <mergeCell ref="B115:G115"/>
    <mergeCell ref="B117:F117"/>
    <mergeCell ref="F8:F9"/>
    <mergeCell ref="G8:G9"/>
    <mergeCell ref="A104:G104"/>
    <mergeCell ref="A1:G1"/>
    <mergeCell ref="A2:G2"/>
    <mergeCell ref="A3:G3"/>
    <mergeCell ref="A4:G4"/>
    <mergeCell ref="A6:G6"/>
    <mergeCell ref="A8:A9"/>
  </mergeCells>
  <printOptions/>
  <pageMargins left="1.1811023622047245" right="0.3937007874015748" top="0.7874015748031497" bottom="0.7874015748031497" header="0.31496062992125984" footer="0.31496062992125984"/>
  <pageSetup fitToHeight="2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0">
      <selection activeCell="A32" sqref="A32"/>
    </sheetView>
  </sheetViews>
  <sheetFormatPr defaultColWidth="9.140625" defaultRowHeight="12.75"/>
  <cols>
    <col min="1" max="1" width="37.7109375" style="69" customWidth="1"/>
    <col min="2" max="2" width="6.00390625" style="69" customWidth="1"/>
    <col min="3" max="3" width="9.7109375" style="70" customWidth="1"/>
    <col min="4" max="7" width="9.421875" style="69" customWidth="1"/>
    <col min="8" max="16384" width="9.140625" style="69" customWidth="1"/>
  </cols>
  <sheetData>
    <row r="1" spans="4:7" ht="15">
      <c r="D1" s="138"/>
      <c r="E1" s="138"/>
      <c r="F1" s="138"/>
      <c r="G1" s="138" t="s">
        <v>124</v>
      </c>
    </row>
    <row r="2" spans="1:7" ht="15.75">
      <c r="A2" s="281" t="s">
        <v>282</v>
      </c>
      <c r="B2" s="281"/>
      <c r="C2" s="281"/>
      <c r="D2" s="281"/>
      <c r="E2" s="281"/>
      <c r="F2" s="281"/>
      <c r="G2" s="281"/>
    </row>
    <row r="3" spans="1:7" ht="12" customHeight="1">
      <c r="A3" s="130"/>
      <c r="B3" s="139"/>
      <c r="C3" s="214"/>
      <c r="D3" s="159"/>
      <c r="E3" s="160"/>
      <c r="F3" s="159"/>
      <c r="G3" s="159"/>
    </row>
    <row r="4" spans="1:7" s="31" customFormat="1" ht="15" customHeight="1">
      <c r="A4" s="283" t="s">
        <v>1</v>
      </c>
      <c r="B4" s="284" t="s">
        <v>2</v>
      </c>
      <c r="C4" s="270" t="s">
        <v>293</v>
      </c>
      <c r="D4" s="268" t="s">
        <v>295</v>
      </c>
      <c r="E4" s="273" t="s">
        <v>311</v>
      </c>
      <c r="F4" s="275" t="s">
        <v>277</v>
      </c>
      <c r="G4" s="275" t="s">
        <v>278</v>
      </c>
    </row>
    <row r="5" spans="1:7" s="31" customFormat="1" ht="57" customHeight="1">
      <c r="A5" s="283"/>
      <c r="B5" s="284"/>
      <c r="C5" s="271"/>
      <c r="D5" s="269"/>
      <c r="E5" s="274"/>
      <c r="F5" s="276"/>
      <c r="G5" s="276"/>
    </row>
    <row r="6" spans="1:7" s="31" customFormat="1" ht="12.75">
      <c r="A6" s="30">
        <v>1</v>
      </c>
      <c r="B6" s="41">
        <v>2</v>
      </c>
      <c r="C6" s="215">
        <v>3</v>
      </c>
      <c r="D6" s="14">
        <v>4</v>
      </c>
      <c r="E6" s="13">
        <v>6</v>
      </c>
      <c r="F6" s="14">
        <v>7</v>
      </c>
      <c r="G6" s="14">
        <v>8</v>
      </c>
    </row>
    <row r="7" spans="1:7" s="31" customFormat="1" ht="14.25">
      <c r="A7" s="277" t="s">
        <v>44</v>
      </c>
      <c r="B7" s="278"/>
      <c r="C7" s="278"/>
      <c r="D7" s="278"/>
      <c r="E7" s="279"/>
      <c r="F7" s="279"/>
      <c r="G7" s="280"/>
    </row>
    <row r="8" spans="1:7" s="31" customFormat="1" ht="45">
      <c r="A8" s="221" t="s">
        <v>45</v>
      </c>
      <c r="B8" s="94">
        <v>2000</v>
      </c>
      <c r="C8" s="216">
        <v>-6021</v>
      </c>
      <c r="D8" s="204">
        <v>-5730</v>
      </c>
      <c r="E8" s="222">
        <v>-4940</v>
      </c>
      <c r="F8" s="223">
        <f>E8-D8</f>
        <v>790</v>
      </c>
      <c r="G8" s="224">
        <f>E8/D8*100</f>
        <v>86.2129144851658</v>
      </c>
    </row>
    <row r="9" spans="1:7" s="31" customFormat="1" ht="45">
      <c r="A9" s="75" t="s">
        <v>151</v>
      </c>
      <c r="B9" s="29">
        <v>2010</v>
      </c>
      <c r="C9" s="61"/>
      <c r="D9" s="50"/>
      <c r="E9" s="151"/>
      <c r="F9" s="225"/>
      <c r="G9" s="226"/>
    </row>
    <row r="10" spans="1:7" s="31" customFormat="1" ht="15">
      <c r="A10" s="75" t="s">
        <v>46</v>
      </c>
      <c r="B10" s="29">
        <v>2030</v>
      </c>
      <c r="C10" s="61"/>
      <c r="D10" s="50"/>
      <c r="E10" s="151"/>
      <c r="F10" s="225"/>
      <c r="G10" s="226"/>
    </row>
    <row r="11" spans="1:7" s="31" customFormat="1" ht="30">
      <c r="A11" s="75" t="s">
        <v>47</v>
      </c>
      <c r="B11" s="29">
        <v>2031</v>
      </c>
      <c r="C11" s="61"/>
      <c r="D11" s="50"/>
      <c r="E11" s="151"/>
      <c r="F11" s="225"/>
      <c r="G11" s="226"/>
    </row>
    <row r="12" spans="1:7" s="31" customFormat="1" ht="15">
      <c r="A12" s="75" t="s">
        <v>48</v>
      </c>
      <c r="B12" s="29">
        <v>2040</v>
      </c>
      <c r="C12" s="61"/>
      <c r="D12" s="88"/>
      <c r="E12" s="151"/>
      <c r="F12" s="225"/>
      <c r="G12" s="226"/>
    </row>
    <row r="13" spans="1:7" s="31" customFormat="1" ht="15">
      <c r="A13" s="75" t="s">
        <v>49</v>
      </c>
      <c r="B13" s="29">
        <v>2050</v>
      </c>
      <c r="C13" s="61"/>
      <c r="D13" s="50"/>
      <c r="E13" s="151"/>
      <c r="F13" s="225"/>
      <c r="G13" s="226"/>
    </row>
    <row r="14" spans="1:7" s="31" customFormat="1" ht="15">
      <c r="A14" s="75" t="s">
        <v>50</v>
      </c>
      <c r="B14" s="29">
        <v>2060</v>
      </c>
      <c r="C14" s="61"/>
      <c r="D14" s="50"/>
      <c r="E14" s="151"/>
      <c r="F14" s="225"/>
      <c r="G14" s="226"/>
    </row>
    <row r="15" spans="1:7" s="31" customFormat="1" ht="45">
      <c r="A15" s="221" t="s">
        <v>51</v>
      </c>
      <c r="B15" s="94">
        <v>2070</v>
      </c>
      <c r="C15" s="217" t="s">
        <v>312</v>
      </c>
      <c r="D15" s="204">
        <v>-4935</v>
      </c>
      <c r="E15" s="227" t="s">
        <v>313</v>
      </c>
      <c r="F15" s="223">
        <f>E15-D15</f>
        <v>2808</v>
      </c>
      <c r="G15" s="224">
        <f>E15/D15*100</f>
        <v>43.10030395136778</v>
      </c>
    </row>
    <row r="16" spans="1:7" s="31" customFormat="1" ht="15">
      <c r="A16" s="282" t="s">
        <v>52</v>
      </c>
      <c r="B16" s="282"/>
      <c r="C16" s="282"/>
      <c r="D16" s="282"/>
      <c r="E16" s="148"/>
      <c r="F16" s="153"/>
      <c r="G16" s="156"/>
    </row>
    <row r="17" spans="1:7" s="31" customFormat="1" ht="42.75">
      <c r="A17" s="116" t="s">
        <v>150</v>
      </c>
      <c r="B17" s="118">
        <v>2110</v>
      </c>
      <c r="C17" s="102">
        <v>5077</v>
      </c>
      <c r="D17" s="102">
        <v>6156.75</v>
      </c>
      <c r="E17" s="147">
        <f>SUM(E18:E23)</f>
        <v>5763</v>
      </c>
      <c r="F17" s="152">
        <f>E17-D17</f>
        <v>-393.75</v>
      </c>
      <c r="G17" s="155">
        <f>E17/D17*100</f>
        <v>93.6045803386527</v>
      </c>
    </row>
    <row r="18" spans="1:7" s="31" customFormat="1" ht="15">
      <c r="A18" s="3" t="s">
        <v>53</v>
      </c>
      <c r="B18" s="29">
        <v>2111</v>
      </c>
      <c r="C18" s="55"/>
      <c r="D18" s="57"/>
      <c r="E18" s="148"/>
      <c r="F18" s="153"/>
      <c r="G18" s="156"/>
    </row>
    <row r="19" spans="1:7" s="31" customFormat="1" ht="30">
      <c r="A19" s="3" t="s">
        <v>125</v>
      </c>
      <c r="B19" s="29">
        <v>2112</v>
      </c>
      <c r="C19" s="55">
        <v>4835</v>
      </c>
      <c r="D19" s="57">
        <v>5898</v>
      </c>
      <c r="E19" s="148">
        <v>5508</v>
      </c>
      <c r="F19" s="225">
        <f>E19-D19</f>
        <v>-390</v>
      </c>
      <c r="G19" s="226">
        <f>E19/D19*100</f>
        <v>93.38758901322483</v>
      </c>
    </row>
    <row r="20" spans="1:7" s="31" customFormat="1" ht="45">
      <c r="A20" s="75" t="s">
        <v>126</v>
      </c>
      <c r="B20" s="30">
        <v>2113</v>
      </c>
      <c r="C20" s="55"/>
      <c r="D20" s="57"/>
      <c r="E20" s="148"/>
      <c r="F20" s="225"/>
      <c r="G20" s="226"/>
    </row>
    <row r="21" spans="1:7" s="31" customFormat="1" ht="15">
      <c r="A21" s="75" t="s">
        <v>54</v>
      </c>
      <c r="B21" s="30">
        <v>2114</v>
      </c>
      <c r="C21" s="55"/>
      <c r="D21" s="57"/>
      <c r="E21" s="148"/>
      <c r="F21" s="225"/>
      <c r="G21" s="226"/>
    </row>
    <row r="22" spans="1:7" s="31" customFormat="1" ht="15">
      <c r="A22" s="75" t="s">
        <v>55</v>
      </c>
      <c r="B22" s="30">
        <v>2115</v>
      </c>
      <c r="C22" s="55"/>
      <c r="D22" s="57"/>
      <c r="E22" s="148"/>
      <c r="F22" s="225"/>
      <c r="G22" s="226"/>
    </row>
    <row r="23" spans="1:7" s="31" customFormat="1" ht="15">
      <c r="A23" s="75" t="s">
        <v>56</v>
      </c>
      <c r="B23" s="30">
        <v>2116</v>
      </c>
      <c r="C23" s="50">
        <v>242</v>
      </c>
      <c r="D23" s="57">
        <v>258.75</v>
      </c>
      <c r="E23" s="150">
        <f>E24</f>
        <v>255</v>
      </c>
      <c r="F23" s="225">
        <f aca="true" t="shared" si="0" ref="F23:F28">E23-D23</f>
        <v>-3.75</v>
      </c>
      <c r="G23" s="226">
        <f aca="true" t="shared" si="1" ref="G23:G28">E23/D23*100</f>
        <v>98.55072463768117</v>
      </c>
    </row>
    <row r="24" spans="1:7" s="31" customFormat="1" ht="15">
      <c r="A24" s="75" t="s">
        <v>211</v>
      </c>
      <c r="B24" s="30" t="s">
        <v>144</v>
      </c>
      <c r="C24" s="55">
        <v>242</v>
      </c>
      <c r="D24" s="57">
        <v>258.75</v>
      </c>
      <c r="E24" s="150">
        <v>255</v>
      </c>
      <c r="F24" s="225">
        <f t="shared" si="0"/>
        <v>-3.75</v>
      </c>
      <c r="G24" s="226">
        <f t="shared" si="1"/>
        <v>98.55072463768117</v>
      </c>
    </row>
    <row r="25" spans="1:7" s="158" customFormat="1" ht="42.75">
      <c r="A25" s="116" t="s">
        <v>57</v>
      </c>
      <c r="B25" s="117">
        <v>2120</v>
      </c>
      <c r="C25" s="218">
        <v>4200</v>
      </c>
      <c r="D25" s="102">
        <f>SUM(D26:D35)</f>
        <v>4374.9</v>
      </c>
      <c r="E25" s="147">
        <f>SUM(E26:E35)</f>
        <v>4977</v>
      </c>
      <c r="F25" s="152">
        <f t="shared" si="0"/>
        <v>602.1000000000004</v>
      </c>
      <c r="G25" s="155">
        <f t="shared" si="1"/>
        <v>113.7626002880066</v>
      </c>
    </row>
    <row r="26" spans="1:7" s="31" customFormat="1" ht="15">
      <c r="A26" s="75" t="s">
        <v>55</v>
      </c>
      <c r="B26" s="30">
        <v>2121</v>
      </c>
      <c r="C26" s="55">
        <v>2827</v>
      </c>
      <c r="D26" s="57">
        <v>3105</v>
      </c>
      <c r="E26" s="148">
        <v>3041</v>
      </c>
      <c r="F26" s="225">
        <f t="shared" si="0"/>
        <v>-64</v>
      </c>
      <c r="G26" s="226">
        <f t="shared" si="1"/>
        <v>97.93880837359097</v>
      </c>
    </row>
    <row r="27" spans="1:7" s="31" customFormat="1" ht="15">
      <c r="A27" s="75" t="s">
        <v>58</v>
      </c>
      <c r="B27" s="30">
        <v>2122</v>
      </c>
      <c r="C27" s="55">
        <v>6</v>
      </c>
      <c r="D27" s="57">
        <v>7</v>
      </c>
      <c r="E27" s="150">
        <v>7</v>
      </c>
      <c r="F27" s="225">
        <f t="shared" si="0"/>
        <v>0</v>
      </c>
      <c r="G27" s="226">
        <f t="shared" si="1"/>
        <v>100</v>
      </c>
    </row>
    <row r="28" spans="1:7" s="31" customFormat="1" ht="15">
      <c r="A28" s="75" t="s">
        <v>59</v>
      </c>
      <c r="B28" s="30">
        <v>2123</v>
      </c>
      <c r="C28" s="55">
        <v>219</v>
      </c>
      <c r="D28" s="220">
        <v>211.9</v>
      </c>
      <c r="E28" s="150">
        <v>304</v>
      </c>
      <c r="F28" s="225">
        <f t="shared" si="0"/>
        <v>92.1</v>
      </c>
      <c r="G28" s="226">
        <f t="shared" si="1"/>
        <v>143.46389806512505</v>
      </c>
    </row>
    <row r="29" spans="1:7" s="31" customFormat="1" ht="15">
      <c r="A29" s="75" t="s">
        <v>56</v>
      </c>
      <c r="B29" s="30">
        <v>2124</v>
      </c>
      <c r="C29" s="55"/>
      <c r="D29" s="57"/>
      <c r="E29" s="150"/>
      <c r="F29" s="225"/>
      <c r="G29" s="226"/>
    </row>
    <row r="30" spans="1:7" s="31" customFormat="1" ht="15">
      <c r="A30" s="75" t="s">
        <v>156</v>
      </c>
      <c r="B30" s="30" t="s">
        <v>234</v>
      </c>
      <c r="C30" s="55">
        <v>681</v>
      </c>
      <c r="D30" s="57">
        <v>680</v>
      </c>
      <c r="E30" s="150">
        <v>748</v>
      </c>
      <c r="F30" s="225">
        <f>E30-D30</f>
        <v>68</v>
      </c>
      <c r="G30" s="226">
        <f>E30/D30*100</f>
        <v>110.00000000000001</v>
      </c>
    </row>
    <row r="31" spans="1:7" s="31" customFormat="1" ht="15">
      <c r="A31" s="75" t="s">
        <v>157</v>
      </c>
      <c r="B31" s="30" t="s">
        <v>235</v>
      </c>
      <c r="C31" s="55"/>
      <c r="D31" s="57"/>
      <c r="E31" s="148"/>
      <c r="F31" s="225"/>
      <c r="G31" s="226"/>
    </row>
    <row r="32" spans="1:7" s="31" customFormat="1" ht="30">
      <c r="A32" s="75" t="s">
        <v>321</v>
      </c>
      <c r="B32" s="30" t="s">
        <v>236</v>
      </c>
      <c r="C32" s="55"/>
      <c r="D32" s="57"/>
      <c r="E32" s="148">
        <v>23</v>
      </c>
      <c r="F32" s="225">
        <f>E32-D32</f>
        <v>23</v>
      </c>
      <c r="G32" s="226"/>
    </row>
    <row r="33" spans="1:7" s="31" customFormat="1" ht="15">
      <c r="A33" s="3" t="s">
        <v>53</v>
      </c>
      <c r="B33" s="30" t="s">
        <v>237</v>
      </c>
      <c r="C33" s="55">
        <v>264</v>
      </c>
      <c r="D33" s="57">
        <v>243</v>
      </c>
      <c r="E33" s="148">
        <v>361</v>
      </c>
      <c r="F33" s="225">
        <f>E33-D33</f>
        <v>118</v>
      </c>
      <c r="G33" s="226">
        <f>E33/D33*100</f>
        <v>148.559670781893</v>
      </c>
    </row>
    <row r="34" spans="1:7" s="31" customFormat="1" ht="15">
      <c r="A34" s="75" t="s">
        <v>165</v>
      </c>
      <c r="B34" s="30" t="s">
        <v>238</v>
      </c>
      <c r="C34" s="55">
        <v>203</v>
      </c>
      <c r="D34" s="57">
        <v>128</v>
      </c>
      <c r="E34" s="148">
        <v>493</v>
      </c>
      <c r="F34" s="225">
        <f>E34-D34</f>
        <v>365</v>
      </c>
      <c r="G34" s="226">
        <f>E34/D34*100</f>
        <v>385.15625</v>
      </c>
    </row>
    <row r="35" spans="1:7" s="31" customFormat="1" ht="15">
      <c r="A35" s="75" t="s">
        <v>185</v>
      </c>
      <c r="B35" s="30" t="s">
        <v>239</v>
      </c>
      <c r="C35" s="55"/>
      <c r="D35" s="57"/>
      <c r="E35" s="148"/>
      <c r="F35" s="225"/>
      <c r="G35" s="226"/>
    </row>
    <row r="36" spans="1:7" s="158" customFormat="1" ht="28.5">
      <c r="A36" s="116" t="s">
        <v>149</v>
      </c>
      <c r="B36" s="117">
        <v>2130</v>
      </c>
      <c r="C36" s="98">
        <v>3344</v>
      </c>
      <c r="D36" s="102">
        <v>3795</v>
      </c>
      <c r="E36" s="157">
        <f>E38</f>
        <v>3543</v>
      </c>
      <c r="F36" s="152">
        <f>E36-D36</f>
        <v>-252</v>
      </c>
      <c r="G36" s="155">
        <f>E36/D36*100</f>
        <v>93.3596837944664</v>
      </c>
    </row>
    <row r="37" spans="1:7" s="31" customFormat="1" ht="15">
      <c r="A37" s="75" t="s">
        <v>60</v>
      </c>
      <c r="B37" s="30">
        <v>2131</v>
      </c>
      <c r="C37" s="55"/>
      <c r="D37" s="57"/>
      <c r="E37" s="148"/>
      <c r="F37" s="153"/>
      <c r="G37" s="156"/>
    </row>
    <row r="38" spans="1:7" s="31" customFormat="1" ht="30">
      <c r="A38" s="75" t="s">
        <v>61</v>
      </c>
      <c r="B38" s="30">
        <v>2132</v>
      </c>
      <c r="C38" s="55">
        <v>3344</v>
      </c>
      <c r="D38" s="57">
        <v>3795</v>
      </c>
      <c r="E38" s="150">
        <v>3543</v>
      </c>
      <c r="F38" s="225">
        <f>E38-D38</f>
        <v>-252</v>
      </c>
      <c r="G38" s="226">
        <f>E38/D38*100</f>
        <v>93.3596837944664</v>
      </c>
    </row>
    <row r="39" spans="1:7" s="31" customFormat="1" ht="30">
      <c r="A39" s="75" t="s">
        <v>62</v>
      </c>
      <c r="B39" s="30">
        <v>2133</v>
      </c>
      <c r="C39" s="55"/>
      <c r="D39" s="50"/>
      <c r="E39" s="148"/>
      <c r="F39" s="153"/>
      <c r="G39" s="156"/>
    </row>
    <row r="40" spans="1:7" s="31" customFormat="1" ht="28.5">
      <c r="A40" s="116" t="s">
        <v>63</v>
      </c>
      <c r="B40" s="117">
        <v>2140</v>
      </c>
      <c r="C40" s="102"/>
      <c r="D40" s="98"/>
      <c r="E40" s="154"/>
      <c r="F40" s="152"/>
      <c r="G40" s="155"/>
    </row>
    <row r="41" spans="1:7" s="31" customFormat="1" ht="60">
      <c r="A41" s="75" t="s">
        <v>64</v>
      </c>
      <c r="B41" s="30">
        <v>2141</v>
      </c>
      <c r="C41" s="55"/>
      <c r="D41" s="50"/>
      <c r="E41" s="148"/>
      <c r="F41" s="153"/>
      <c r="G41" s="156"/>
    </row>
    <row r="42" spans="1:7" s="31" customFormat="1" ht="30">
      <c r="A42" s="75" t="s">
        <v>65</v>
      </c>
      <c r="B42" s="30">
        <v>2142</v>
      </c>
      <c r="C42" s="55"/>
      <c r="D42" s="50"/>
      <c r="E42" s="149"/>
      <c r="F42" s="153"/>
      <c r="G42" s="156"/>
    </row>
    <row r="43" spans="1:4" s="31" customFormat="1" ht="21.75" customHeight="1">
      <c r="A43" s="179"/>
      <c r="B43" s="180"/>
      <c r="C43" s="181"/>
      <c r="D43" s="182"/>
    </row>
    <row r="44" spans="1:7" ht="15">
      <c r="A44" s="8" t="s">
        <v>178</v>
      </c>
      <c r="B44" s="254" t="s">
        <v>294</v>
      </c>
      <c r="C44" s="255"/>
      <c r="D44" s="255"/>
      <c r="E44" s="256"/>
      <c r="F44" s="256"/>
      <c r="G44" s="272"/>
    </row>
    <row r="45" spans="1:7" ht="11.25" customHeight="1">
      <c r="A45" s="8"/>
      <c r="B45" s="39"/>
      <c r="C45" s="219"/>
      <c r="D45" s="40"/>
      <c r="E45" s="183"/>
      <c r="F45" s="183"/>
      <c r="G45" s="183"/>
    </row>
    <row r="46" spans="1:7" ht="18" customHeight="1">
      <c r="A46" s="8" t="s">
        <v>143</v>
      </c>
      <c r="B46" s="254" t="s">
        <v>289</v>
      </c>
      <c r="C46" s="255"/>
      <c r="D46" s="255"/>
      <c r="E46" s="256"/>
      <c r="F46" s="256"/>
      <c r="G46" s="183"/>
    </row>
  </sheetData>
  <sheetProtection/>
  <mergeCells count="12">
    <mergeCell ref="B46:F46"/>
    <mergeCell ref="A16:D16"/>
    <mergeCell ref="A4:A5"/>
    <mergeCell ref="B4:B5"/>
    <mergeCell ref="C4:C5"/>
    <mergeCell ref="D4:D5"/>
    <mergeCell ref="B44:G44"/>
    <mergeCell ref="E4:E5"/>
    <mergeCell ref="F4:F5"/>
    <mergeCell ref="G4:G5"/>
    <mergeCell ref="A7:G7"/>
    <mergeCell ref="A2:G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37.8515625" style="69" customWidth="1"/>
    <col min="2" max="2" width="6.421875" style="69" customWidth="1"/>
    <col min="3" max="3" width="9.7109375" style="73" customWidth="1"/>
    <col min="4" max="4" width="9.7109375" style="69" customWidth="1"/>
    <col min="5" max="5" width="9.140625" style="69" customWidth="1"/>
    <col min="6" max="6" width="10.8515625" style="69" customWidth="1"/>
    <col min="7" max="7" width="11.00390625" style="69" customWidth="1"/>
    <col min="8" max="16384" width="9.140625" style="69" customWidth="1"/>
  </cols>
  <sheetData>
    <row r="1" spans="3:7" ht="15">
      <c r="C1" s="69"/>
      <c r="D1" s="138"/>
      <c r="E1" s="138"/>
      <c r="F1" s="138"/>
      <c r="G1" s="138" t="s">
        <v>127</v>
      </c>
    </row>
    <row r="2" spans="1:7" ht="15.75">
      <c r="A2" s="281" t="s">
        <v>128</v>
      </c>
      <c r="B2" s="281"/>
      <c r="C2" s="281"/>
      <c r="D2" s="281"/>
      <c r="E2" s="281"/>
      <c r="F2" s="281"/>
      <c r="G2" s="281"/>
    </row>
    <row r="3" spans="1:7" ht="14.25" customHeight="1">
      <c r="A3" s="130"/>
      <c r="B3" s="139"/>
      <c r="C3" s="230"/>
      <c r="D3" s="159"/>
      <c r="E3" s="160"/>
      <c r="F3" s="159"/>
      <c r="G3" s="159"/>
    </row>
    <row r="4" spans="1:7" ht="18.75" customHeight="1">
      <c r="A4" s="292" t="s">
        <v>1</v>
      </c>
      <c r="B4" s="294" t="s">
        <v>66</v>
      </c>
      <c r="C4" s="270" t="s">
        <v>293</v>
      </c>
      <c r="D4" s="268" t="s">
        <v>295</v>
      </c>
      <c r="E4" s="273" t="s">
        <v>296</v>
      </c>
      <c r="F4" s="275" t="s">
        <v>277</v>
      </c>
      <c r="G4" s="275" t="s">
        <v>278</v>
      </c>
    </row>
    <row r="5" spans="1:7" ht="51" customHeight="1">
      <c r="A5" s="293"/>
      <c r="B5" s="294"/>
      <c r="C5" s="271"/>
      <c r="D5" s="269"/>
      <c r="E5" s="274"/>
      <c r="F5" s="276"/>
      <c r="G5" s="276"/>
    </row>
    <row r="6" spans="1:7" s="72" customFormat="1" ht="12.75">
      <c r="A6" s="43">
        <v>1</v>
      </c>
      <c r="B6" s="42">
        <v>2</v>
      </c>
      <c r="C6" s="231">
        <v>3</v>
      </c>
      <c r="D6" s="14">
        <v>4</v>
      </c>
      <c r="E6" s="13">
        <v>6</v>
      </c>
      <c r="F6" s="14">
        <v>7</v>
      </c>
      <c r="G6" s="14">
        <v>8</v>
      </c>
    </row>
    <row r="7" spans="1:7" ht="15.75" customHeight="1">
      <c r="A7" s="287" t="s">
        <v>67</v>
      </c>
      <c r="B7" s="288"/>
      <c r="C7" s="288"/>
      <c r="D7" s="288"/>
      <c r="E7" s="124"/>
      <c r="F7" s="124"/>
      <c r="G7" s="124"/>
    </row>
    <row r="8" spans="1:9" ht="28.5">
      <c r="A8" s="108" t="s">
        <v>68</v>
      </c>
      <c r="B8" s="110">
        <v>3000</v>
      </c>
      <c r="C8" s="102">
        <v>39923</v>
      </c>
      <c r="D8" s="102">
        <f>SUM(D9:D16)</f>
        <v>51696.4</v>
      </c>
      <c r="E8" s="102">
        <f>SUM(E9:E16)</f>
        <v>43694</v>
      </c>
      <c r="F8" s="106">
        <f>E8-D8</f>
        <v>-8002.4000000000015</v>
      </c>
      <c r="G8" s="106">
        <f>E8/D8*100</f>
        <v>84.52039213562259</v>
      </c>
      <c r="I8" s="126"/>
    </row>
    <row r="9" spans="1:7" ht="30">
      <c r="A9" s="33" t="s">
        <v>69</v>
      </c>
      <c r="B9" s="80">
        <v>3010</v>
      </c>
      <c r="C9" s="57">
        <v>34725</v>
      </c>
      <c r="D9" s="55">
        <v>40488</v>
      </c>
      <c r="E9" s="55">
        <v>38644</v>
      </c>
      <c r="F9" s="198">
        <f aca="true" t="shared" si="0" ref="F9:F65">E9-D9</f>
        <v>-1844</v>
      </c>
      <c r="G9" s="198">
        <f aca="true" t="shared" si="1" ref="G9:G65">E9/D9*100</f>
        <v>95.4455641177633</v>
      </c>
    </row>
    <row r="10" spans="1:7" ht="30">
      <c r="A10" s="33" t="s">
        <v>70</v>
      </c>
      <c r="B10" s="80">
        <v>3020</v>
      </c>
      <c r="C10" s="57"/>
      <c r="D10" s="207"/>
      <c r="E10" s="207"/>
      <c r="F10" s="198">
        <f t="shared" si="0"/>
        <v>0</v>
      </c>
      <c r="G10" s="198"/>
    </row>
    <row r="11" spans="1:7" ht="15">
      <c r="A11" s="33" t="s">
        <v>71</v>
      </c>
      <c r="B11" s="80">
        <v>3021</v>
      </c>
      <c r="C11" s="57"/>
      <c r="D11" s="207"/>
      <c r="E11" s="207"/>
      <c r="F11" s="198">
        <f t="shared" si="0"/>
        <v>0</v>
      </c>
      <c r="G11" s="198"/>
    </row>
    <row r="12" spans="1:7" ht="15">
      <c r="A12" s="33" t="s">
        <v>155</v>
      </c>
      <c r="B12" s="80">
        <v>3030</v>
      </c>
      <c r="C12" s="57">
        <v>1607</v>
      </c>
      <c r="D12" s="55">
        <f>3865+5543</f>
        <v>9408</v>
      </c>
      <c r="E12" s="55">
        <v>298</v>
      </c>
      <c r="F12" s="198">
        <f t="shared" si="0"/>
        <v>-9110</v>
      </c>
      <c r="G12" s="198">
        <f t="shared" si="1"/>
        <v>3.167517006802721</v>
      </c>
    </row>
    <row r="13" spans="1:7" ht="30">
      <c r="A13" s="33" t="s">
        <v>72</v>
      </c>
      <c r="B13" s="80">
        <v>3040</v>
      </c>
      <c r="C13" s="57">
        <v>225</v>
      </c>
      <c r="D13" s="207"/>
      <c r="E13" s="205">
        <v>1384</v>
      </c>
      <c r="F13" s="198">
        <f t="shared" si="0"/>
        <v>1384</v>
      </c>
      <c r="G13" s="198"/>
    </row>
    <row r="14" spans="1:7" ht="30">
      <c r="A14" s="33" t="s">
        <v>129</v>
      </c>
      <c r="B14" s="80">
        <v>3050</v>
      </c>
      <c r="C14" s="57"/>
      <c r="D14" s="207"/>
      <c r="E14" s="207"/>
      <c r="F14" s="198">
        <f t="shared" si="0"/>
        <v>0</v>
      </c>
      <c r="G14" s="198"/>
    </row>
    <row r="15" spans="1:7" ht="15">
      <c r="A15" s="3" t="s">
        <v>179</v>
      </c>
      <c r="B15" s="80">
        <v>3055</v>
      </c>
      <c r="C15" s="57">
        <v>1280</v>
      </c>
      <c r="D15" s="55">
        <v>1094.3999999999999</v>
      </c>
      <c r="E15" s="55">
        <v>2437</v>
      </c>
      <c r="F15" s="198">
        <f t="shared" si="0"/>
        <v>1342.6000000000001</v>
      </c>
      <c r="G15" s="198">
        <f t="shared" si="1"/>
        <v>222.67909356725147</v>
      </c>
    </row>
    <row r="16" spans="1:9" s="73" customFormat="1" ht="30">
      <c r="A16" s="3" t="s">
        <v>90</v>
      </c>
      <c r="B16" s="87">
        <v>3060</v>
      </c>
      <c r="C16" s="57">
        <v>2086</v>
      </c>
      <c r="D16" s="50">
        <f>SUM(D17:D23)</f>
        <v>706</v>
      </c>
      <c r="E16" s="50">
        <f>SUM(E17:E23)</f>
        <v>931</v>
      </c>
      <c r="F16" s="198">
        <f t="shared" si="0"/>
        <v>225</v>
      </c>
      <c r="G16" s="198">
        <f t="shared" si="1"/>
        <v>131.86968838526911</v>
      </c>
      <c r="I16" s="233"/>
    </row>
    <row r="17" spans="1:7" ht="15">
      <c r="A17" s="33" t="s">
        <v>193</v>
      </c>
      <c r="B17" s="80" t="s">
        <v>240</v>
      </c>
      <c r="C17" s="57">
        <v>9</v>
      </c>
      <c r="D17" s="205"/>
      <c r="E17" s="205">
        <v>4</v>
      </c>
      <c r="F17" s="198">
        <f t="shared" si="0"/>
        <v>4</v>
      </c>
      <c r="G17" s="198"/>
    </row>
    <row r="18" spans="1:7" ht="15">
      <c r="A18" s="33" t="s">
        <v>212</v>
      </c>
      <c r="B18" s="80" t="s">
        <v>241</v>
      </c>
      <c r="C18" s="57">
        <v>208</v>
      </c>
      <c r="D18" s="205">
        <v>156</v>
      </c>
      <c r="E18" s="205">
        <v>347</v>
      </c>
      <c r="F18" s="198">
        <f t="shared" si="0"/>
        <v>191</v>
      </c>
      <c r="G18" s="198">
        <f t="shared" si="1"/>
        <v>222.43589743589746</v>
      </c>
    </row>
    <row r="19" spans="1:7" ht="30">
      <c r="A19" s="33" t="s">
        <v>254</v>
      </c>
      <c r="B19" s="80" t="s">
        <v>242</v>
      </c>
      <c r="C19" s="57">
        <v>10</v>
      </c>
      <c r="D19" s="207"/>
      <c r="E19" s="207"/>
      <c r="F19" s="198">
        <f t="shared" si="0"/>
        <v>0</v>
      </c>
      <c r="G19" s="198"/>
    </row>
    <row r="20" spans="1:7" ht="30">
      <c r="A20" s="3" t="s">
        <v>186</v>
      </c>
      <c r="B20" s="80" t="s">
        <v>243</v>
      </c>
      <c r="C20" s="57"/>
      <c r="D20" s="207"/>
      <c r="E20" s="207"/>
      <c r="F20" s="198">
        <f t="shared" si="0"/>
        <v>0</v>
      </c>
      <c r="G20" s="198"/>
    </row>
    <row r="21" spans="1:7" ht="30">
      <c r="A21" s="3" t="s">
        <v>259</v>
      </c>
      <c r="B21" s="80" t="s">
        <v>261</v>
      </c>
      <c r="C21" s="57">
        <v>1831</v>
      </c>
      <c r="D21" s="60">
        <v>550</v>
      </c>
      <c r="E21" s="60">
        <v>550</v>
      </c>
      <c r="F21" s="198">
        <f t="shared" si="0"/>
        <v>0</v>
      </c>
      <c r="G21" s="198">
        <f t="shared" si="1"/>
        <v>100</v>
      </c>
    </row>
    <row r="22" spans="1:7" ht="15">
      <c r="A22" s="3" t="s">
        <v>260</v>
      </c>
      <c r="B22" s="80" t="s">
        <v>262</v>
      </c>
      <c r="C22" s="57">
        <v>8</v>
      </c>
      <c r="D22" s="207"/>
      <c r="E22" s="205">
        <v>30</v>
      </c>
      <c r="F22" s="198">
        <f t="shared" si="0"/>
        <v>30</v>
      </c>
      <c r="G22" s="198"/>
    </row>
    <row r="23" spans="1:7" ht="15">
      <c r="A23" s="3" t="s">
        <v>283</v>
      </c>
      <c r="B23" s="80" t="s">
        <v>284</v>
      </c>
      <c r="C23" s="57">
        <v>20</v>
      </c>
      <c r="D23" s="207"/>
      <c r="E23" s="207"/>
      <c r="F23" s="198">
        <f t="shared" si="0"/>
        <v>0</v>
      </c>
      <c r="G23" s="198"/>
    </row>
    <row r="24" spans="1:7" ht="28.5">
      <c r="A24" s="96" t="s">
        <v>73</v>
      </c>
      <c r="B24" s="97">
        <v>3100</v>
      </c>
      <c r="C24" s="102">
        <v>39917</v>
      </c>
      <c r="D24" s="98">
        <f>D25+D26+D30+D34+D37+D43</f>
        <v>43779.78</v>
      </c>
      <c r="E24" s="98">
        <f>E25+E26+E30+E34+E37+E43</f>
        <v>43636</v>
      </c>
      <c r="F24" s="106">
        <f t="shared" si="0"/>
        <v>-143.77999999999884</v>
      </c>
      <c r="G24" s="106">
        <f t="shared" si="1"/>
        <v>99.67158354838695</v>
      </c>
    </row>
    <row r="25" spans="1:7" ht="30">
      <c r="A25" s="33" t="s">
        <v>74</v>
      </c>
      <c r="B25" s="80">
        <v>3110</v>
      </c>
      <c r="C25" s="57">
        <v>12869</v>
      </c>
      <c r="D25" s="50">
        <f>750+14282.88-212+3865-3810-118+3+10-80+160</f>
        <v>14850.879999999997</v>
      </c>
      <c r="E25" s="50">
        <v>15110</v>
      </c>
      <c r="F25" s="198">
        <f t="shared" si="0"/>
        <v>259.1200000000026</v>
      </c>
      <c r="G25" s="198">
        <f t="shared" si="1"/>
        <v>101.74481242862376</v>
      </c>
    </row>
    <row r="26" spans="1:7" s="70" customFormat="1" ht="15">
      <c r="A26" s="93" t="s">
        <v>271</v>
      </c>
      <c r="B26" s="109">
        <v>3120</v>
      </c>
      <c r="C26" s="105">
        <v>15766</v>
      </c>
      <c r="D26" s="204">
        <v>17681.25</v>
      </c>
      <c r="E26" s="204">
        <f>E27+E28</f>
        <v>16988</v>
      </c>
      <c r="F26" s="201">
        <f t="shared" si="0"/>
        <v>-693.25</v>
      </c>
      <c r="G26" s="201">
        <f t="shared" si="1"/>
        <v>96.079179922234</v>
      </c>
    </row>
    <row r="27" spans="1:7" s="70" customFormat="1" ht="15">
      <c r="A27" s="33" t="s">
        <v>274</v>
      </c>
      <c r="B27" s="80" t="s">
        <v>272</v>
      </c>
      <c r="C27" s="55">
        <v>12422</v>
      </c>
      <c r="D27" s="50">
        <f>D26/1.22</f>
        <v>14492.827868852459</v>
      </c>
      <c r="E27" s="50">
        <v>13445</v>
      </c>
      <c r="F27" s="198">
        <f t="shared" si="0"/>
        <v>-1047.8278688524588</v>
      </c>
      <c r="G27" s="198">
        <f t="shared" si="1"/>
        <v>92.7700247437257</v>
      </c>
    </row>
    <row r="28" spans="1:7" s="70" customFormat="1" ht="15">
      <c r="A28" s="33" t="s">
        <v>255</v>
      </c>
      <c r="B28" s="80" t="s">
        <v>273</v>
      </c>
      <c r="C28" s="55">
        <v>3344</v>
      </c>
      <c r="D28" s="50">
        <f>D27*0.22</f>
        <v>3188.4221311475408</v>
      </c>
      <c r="E28" s="50">
        <v>3543</v>
      </c>
      <c r="F28" s="198">
        <f t="shared" si="0"/>
        <v>354.57786885245923</v>
      </c>
      <c r="G28" s="198">
        <f t="shared" si="1"/>
        <v>111.12079436999905</v>
      </c>
    </row>
    <row r="29" spans="1:7" ht="30">
      <c r="A29" s="33" t="s">
        <v>130</v>
      </c>
      <c r="B29" s="80">
        <v>3130</v>
      </c>
      <c r="C29" s="57"/>
      <c r="D29" s="52"/>
      <c r="E29" s="52"/>
      <c r="F29" s="198"/>
      <c r="G29" s="198"/>
    </row>
    <row r="30" spans="1:7" ht="30">
      <c r="A30" s="93" t="s">
        <v>75</v>
      </c>
      <c r="B30" s="109">
        <v>3140</v>
      </c>
      <c r="C30" s="105">
        <v>7926</v>
      </c>
      <c r="D30" s="204">
        <f>SUM(D31:D33)</f>
        <v>9246</v>
      </c>
      <c r="E30" s="204">
        <f>SUM(E31:E33)</f>
        <v>8910</v>
      </c>
      <c r="F30" s="201">
        <f t="shared" si="0"/>
        <v>-336</v>
      </c>
      <c r="G30" s="201">
        <f t="shared" si="1"/>
        <v>96.3659961064244</v>
      </c>
    </row>
    <row r="31" spans="1:7" s="73" customFormat="1" ht="15" customHeight="1">
      <c r="A31" s="3" t="s">
        <v>94</v>
      </c>
      <c r="B31" s="29">
        <v>3141</v>
      </c>
      <c r="C31" s="57">
        <v>264</v>
      </c>
      <c r="D31" s="57">
        <v>243</v>
      </c>
      <c r="E31" s="57">
        <v>361</v>
      </c>
      <c r="F31" s="198">
        <f t="shared" si="0"/>
        <v>118</v>
      </c>
      <c r="G31" s="198">
        <f t="shared" si="1"/>
        <v>148.559670781893</v>
      </c>
    </row>
    <row r="32" spans="1:7" s="73" customFormat="1" ht="15">
      <c r="A32" s="3" t="s">
        <v>76</v>
      </c>
      <c r="B32" s="29">
        <v>3142</v>
      </c>
      <c r="C32" s="57">
        <v>4835</v>
      </c>
      <c r="D32" s="57">
        <v>5898</v>
      </c>
      <c r="E32" s="57">
        <v>5508</v>
      </c>
      <c r="F32" s="198">
        <f t="shared" si="0"/>
        <v>-390</v>
      </c>
      <c r="G32" s="198">
        <f t="shared" si="1"/>
        <v>93.38758901322483</v>
      </c>
    </row>
    <row r="33" spans="1:7" s="73" customFormat="1" ht="15">
      <c r="A33" s="3" t="s">
        <v>55</v>
      </c>
      <c r="B33" s="29">
        <v>3143</v>
      </c>
      <c r="C33" s="57">
        <v>2827</v>
      </c>
      <c r="D33" s="236">
        <v>3105</v>
      </c>
      <c r="E33" s="236">
        <v>3041</v>
      </c>
      <c r="F33" s="198">
        <f t="shared" si="0"/>
        <v>-64</v>
      </c>
      <c r="G33" s="198">
        <f t="shared" si="1"/>
        <v>97.93880837359097</v>
      </c>
    </row>
    <row r="34" spans="1:7" s="73" customFormat="1" ht="15">
      <c r="A34" s="93" t="s">
        <v>77</v>
      </c>
      <c r="B34" s="94">
        <v>3144</v>
      </c>
      <c r="C34" s="105">
        <v>445</v>
      </c>
      <c r="D34" s="204">
        <f>D35+D36</f>
        <v>386.75</v>
      </c>
      <c r="E34" s="204">
        <f>E35+E36</f>
        <v>748</v>
      </c>
      <c r="F34" s="201">
        <f t="shared" si="0"/>
        <v>361.25</v>
      </c>
      <c r="G34" s="201">
        <f t="shared" si="1"/>
        <v>193.4065934065934</v>
      </c>
    </row>
    <row r="35" spans="1:7" s="73" customFormat="1" ht="30" customHeight="1">
      <c r="A35" s="3" t="s">
        <v>131</v>
      </c>
      <c r="B35" s="29" t="s">
        <v>139</v>
      </c>
      <c r="C35" s="57">
        <v>203</v>
      </c>
      <c r="D35" s="236">
        <v>128</v>
      </c>
      <c r="E35" s="236">
        <v>493</v>
      </c>
      <c r="F35" s="198">
        <f t="shared" si="0"/>
        <v>365</v>
      </c>
      <c r="G35" s="198">
        <f t="shared" si="1"/>
        <v>385.15625</v>
      </c>
    </row>
    <row r="36" spans="1:7" s="73" customFormat="1" ht="15">
      <c r="A36" s="3" t="s">
        <v>211</v>
      </c>
      <c r="B36" s="29" t="s">
        <v>244</v>
      </c>
      <c r="C36" s="57">
        <v>242</v>
      </c>
      <c r="D36" s="236">
        <v>258.75</v>
      </c>
      <c r="E36" s="236">
        <v>255</v>
      </c>
      <c r="F36" s="198">
        <f t="shared" si="0"/>
        <v>-3.75</v>
      </c>
      <c r="G36" s="198">
        <f t="shared" si="1"/>
        <v>98.55072463768117</v>
      </c>
    </row>
    <row r="37" spans="1:7" s="73" customFormat="1" ht="15">
      <c r="A37" s="93" t="s">
        <v>78</v>
      </c>
      <c r="B37" s="94">
        <v>3150</v>
      </c>
      <c r="C37" s="105">
        <v>687</v>
      </c>
      <c r="D37" s="204">
        <f>SUM(D38:D42)</f>
        <v>898.9</v>
      </c>
      <c r="E37" s="204">
        <f>SUM(E38:E42)</f>
        <v>1082</v>
      </c>
      <c r="F37" s="201">
        <f t="shared" si="0"/>
        <v>183.10000000000002</v>
      </c>
      <c r="G37" s="201">
        <f t="shared" si="1"/>
        <v>120.369340304817</v>
      </c>
    </row>
    <row r="38" spans="1:7" ht="15">
      <c r="A38" s="33" t="s">
        <v>194</v>
      </c>
      <c r="B38" s="81" t="s">
        <v>245</v>
      </c>
      <c r="C38" s="57">
        <v>6</v>
      </c>
      <c r="D38" s="55">
        <v>7</v>
      </c>
      <c r="E38" s="55">
        <v>7</v>
      </c>
      <c r="F38" s="198">
        <f t="shared" si="0"/>
        <v>0</v>
      </c>
      <c r="G38" s="198">
        <f t="shared" si="1"/>
        <v>100</v>
      </c>
    </row>
    <row r="39" spans="1:7" ht="15">
      <c r="A39" s="33" t="s">
        <v>156</v>
      </c>
      <c r="B39" s="81" t="s">
        <v>246</v>
      </c>
      <c r="C39" s="57">
        <v>681</v>
      </c>
      <c r="D39" s="55">
        <v>680</v>
      </c>
      <c r="E39" s="55">
        <v>748</v>
      </c>
      <c r="F39" s="198">
        <f t="shared" si="0"/>
        <v>68</v>
      </c>
      <c r="G39" s="198">
        <f t="shared" si="1"/>
        <v>110.00000000000001</v>
      </c>
    </row>
    <row r="40" spans="1:7" ht="15">
      <c r="A40" s="33" t="s">
        <v>320</v>
      </c>
      <c r="B40" s="81" t="s">
        <v>315</v>
      </c>
      <c r="C40" s="57"/>
      <c r="D40" s="55">
        <v>211.9</v>
      </c>
      <c r="E40" s="55">
        <v>304</v>
      </c>
      <c r="F40" s="198"/>
      <c r="G40" s="198"/>
    </row>
    <row r="41" spans="1:7" ht="30">
      <c r="A41" s="75" t="s">
        <v>321</v>
      </c>
      <c r="B41" s="81" t="s">
        <v>322</v>
      </c>
      <c r="C41" s="57"/>
      <c r="D41" s="55"/>
      <c r="E41" s="55">
        <v>23</v>
      </c>
      <c r="F41" s="198"/>
      <c r="G41" s="198"/>
    </row>
    <row r="42" spans="1:7" ht="15">
      <c r="A42" s="33" t="s">
        <v>79</v>
      </c>
      <c r="B42" s="80">
        <v>3160</v>
      </c>
      <c r="C42" s="57">
        <v>3</v>
      </c>
      <c r="D42" s="52"/>
      <c r="E42" s="52"/>
      <c r="F42" s="198">
        <f t="shared" si="0"/>
        <v>0</v>
      </c>
      <c r="G42" s="198"/>
    </row>
    <row r="43" spans="1:7" ht="15">
      <c r="A43" s="93" t="s">
        <v>12</v>
      </c>
      <c r="B43" s="109">
        <v>3170</v>
      </c>
      <c r="C43" s="105">
        <v>2221</v>
      </c>
      <c r="D43" s="204">
        <f>SUM(D44:D47)</f>
        <v>716</v>
      </c>
      <c r="E43" s="204">
        <f>SUM(E44:E47)</f>
        <v>798</v>
      </c>
      <c r="F43" s="201">
        <f t="shared" si="0"/>
        <v>82</v>
      </c>
      <c r="G43" s="201">
        <f t="shared" si="1"/>
        <v>111.45251396648044</v>
      </c>
    </row>
    <row r="44" spans="1:7" ht="15">
      <c r="A44" s="33" t="s">
        <v>213</v>
      </c>
      <c r="B44" s="80" t="s">
        <v>247</v>
      </c>
      <c r="C44" s="57">
        <v>1883</v>
      </c>
      <c r="D44" s="60">
        <v>536</v>
      </c>
      <c r="E44" s="60">
        <v>536</v>
      </c>
      <c r="F44" s="198">
        <f t="shared" si="0"/>
        <v>0</v>
      </c>
      <c r="G44" s="198">
        <f t="shared" si="1"/>
        <v>100</v>
      </c>
    </row>
    <row r="45" spans="1:7" ht="15">
      <c r="A45" s="33" t="s">
        <v>214</v>
      </c>
      <c r="B45" s="80" t="s">
        <v>248</v>
      </c>
      <c r="C45" s="57">
        <v>70</v>
      </c>
      <c r="D45" s="60">
        <v>86</v>
      </c>
      <c r="E45" s="60">
        <f>22+9</f>
        <v>31</v>
      </c>
      <c r="F45" s="198">
        <f t="shared" si="0"/>
        <v>-55</v>
      </c>
      <c r="G45" s="198">
        <f t="shared" si="1"/>
        <v>36.04651162790697</v>
      </c>
    </row>
    <row r="46" spans="1:7" ht="30">
      <c r="A46" s="33" t="s">
        <v>323</v>
      </c>
      <c r="B46" s="80" t="s">
        <v>249</v>
      </c>
      <c r="C46" s="57">
        <v>228</v>
      </c>
      <c r="D46" s="60">
        <v>94</v>
      </c>
      <c r="E46" s="60">
        <v>231</v>
      </c>
      <c r="F46" s="198">
        <f t="shared" si="0"/>
        <v>137</v>
      </c>
      <c r="G46" s="198">
        <f t="shared" si="1"/>
        <v>245.74468085106383</v>
      </c>
    </row>
    <row r="47" spans="1:7" ht="30">
      <c r="A47" s="33" t="s">
        <v>269</v>
      </c>
      <c r="B47" s="80" t="s">
        <v>263</v>
      </c>
      <c r="C47" s="57">
        <v>40</v>
      </c>
      <c r="D47" s="205"/>
      <c r="E47" s="205"/>
      <c r="F47" s="198">
        <f t="shared" si="0"/>
        <v>0</v>
      </c>
      <c r="G47" s="198"/>
    </row>
    <row r="48" spans="1:9" ht="28.5">
      <c r="A48" s="96" t="s">
        <v>80</v>
      </c>
      <c r="B48" s="97">
        <v>3195</v>
      </c>
      <c r="C48" s="102">
        <v>6</v>
      </c>
      <c r="D48" s="98">
        <f>D8-D24</f>
        <v>7916.620000000003</v>
      </c>
      <c r="E48" s="98">
        <f>E8-E24</f>
        <v>58</v>
      </c>
      <c r="F48" s="106">
        <f t="shared" si="0"/>
        <v>-7858.620000000003</v>
      </c>
      <c r="G48" s="106">
        <f t="shared" si="1"/>
        <v>0.7326358976431859</v>
      </c>
      <c r="I48" s="90"/>
    </row>
    <row r="49" spans="1:7" ht="15">
      <c r="A49" s="289" t="s">
        <v>81</v>
      </c>
      <c r="B49" s="290"/>
      <c r="C49" s="290"/>
      <c r="D49" s="291"/>
      <c r="E49" s="124"/>
      <c r="F49" s="162"/>
      <c r="G49" s="162"/>
    </row>
    <row r="50" spans="1:7" ht="28.5">
      <c r="A50" s="32" t="s">
        <v>82</v>
      </c>
      <c r="B50" s="82">
        <v>3200</v>
      </c>
      <c r="C50" s="232"/>
      <c r="D50" s="206"/>
      <c r="E50" s="124"/>
      <c r="F50" s="162"/>
      <c r="G50" s="162"/>
    </row>
    <row r="51" spans="1:7" ht="30">
      <c r="A51" s="33" t="s">
        <v>83</v>
      </c>
      <c r="B51" s="81">
        <v>3210</v>
      </c>
      <c r="C51" s="50"/>
      <c r="D51" s="52"/>
      <c r="E51" s="124"/>
      <c r="F51" s="162"/>
      <c r="G51" s="162"/>
    </row>
    <row r="52" spans="1:7" ht="30">
      <c r="A52" s="33" t="s">
        <v>84</v>
      </c>
      <c r="B52" s="80">
        <v>3220</v>
      </c>
      <c r="C52" s="50"/>
      <c r="D52" s="52"/>
      <c r="E52" s="124"/>
      <c r="F52" s="162"/>
      <c r="G52" s="162"/>
    </row>
    <row r="53" spans="1:7" ht="15">
      <c r="A53" s="33" t="s">
        <v>90</v>
      </c>
      <c r="B53" s="80">
        <v>3230</v>
      </c>
      <c r="C53" s="50"/>
      <c r="D53" s="52"/>
      <c r="E53" s="124"/>
      <c r="F53" s="162"/>
      <c r="G53" s="162"/>
    </row>
    <row r="54" spans="1:7" ht="28.5">
      <c r="A54" s="34" t="s">
        <v>85</v>
      </c>
      <c r="B54" s="83">
        <v>3255</v>
      </c>
      <c r="C54" s="232"/>
      <c r="D54" s="206">
        <f>3810+3950</f>
        <v>7760</v>
      </c>
      <c r="E54" s="124"/>
      <c r="F54" s="162"/>
      <c r="G54" s="162"/>
    </row>
    <row r="55" spans="1:7" ht="30">
      <c r="A55" s="33" t="s">
        <v>91</v>
      </c>
      <c r="B55" s="80">
        <v>3260</v>
      </c>
      <c r="C55" s="50"/>
      <c r="D55" s="207" t="s">
        <v>316</v>
      </c>
      <c r="E55" s="124"/>
      <c r="F55" s="162"/>
      <c r="G55" s="162"/>
    </row>
    <row r="56" spans="1:7" ht="15">
      <c r="A56" s="33" t="s">
        <v>92</v>
      </c>
      <c r="B56" s="80">
        <v>3265</v>
      </c>
      <c r="C56" s="50"/>
      <c r="D56" s="52">
        <v>3950</v>
      </c>
      <c r="E56" s="124"/>
      <c r="F56" s="162"/>
      <c r="G56" s="162"/>
    </row>
    <row r="57" spans="1:7" ht="45">
      <c r="A57" s="33" t="s">
        <v>297</v>
      </c>
      <c r="B57" s="80" t="s">
        <v>298</v>
      </c>
      <c r="C57" s="50"/>
      <c r="D57" s="52">
        <v>1900</v>
      </c>
      <c r="E57" s="124"/>
      <c r="F57" s="162"/>
      <c r="G57" s="162"/>
    </row>
    <row r="58" spans="1:7" ht="60">
      <c r="A58" s="33" t="s">
        <v>299</v>
      </c>
      <c r="B58" s="80" t="s">
        <v>300</v>
      </c>
      <c r="C58" s="50"/>
      <c r="D58" s="52">
        <v>1800</v>
      </c>
      <c r="E58" s="124"/>
      <c r="F58" s="162"/>
      <c r="G58" s="162"/>
    </row>
    <row r="59" spans="1:7" ht="45">
      <c r="A59" s="33" t="s">
        <v>301</v>
      </c>
      <c r="B59" s="80" t="s">
        <v>302</v>
      </c>
      <c r="C59" s="50"/>
      <c r="D59" s="52">
        <v>250</v>
      </c>
      <c r="E59" s="124"/>
      <c r="F59" s="162"/>
      <c r="G59" s="162"/>
    </row>
    <row r="60" spans="1:7" ht="30">
      <c r="A60" s="33" t="s">
        <v>93</v>
      </c>
      <c r="B60" s="80">
        <v>3270</v>
      </c>
      <c r="C60" s="50"/>
      <c r="D60" s="52"/>
      <c r="E60" s="124"/>
      <c r="F60" s="162"/>
      <c r="G60" s="162"/>
    </row>
    <row r="61" spans="1:7" ht="15">
      <c r="A61" s="33" t="s">
        <v>12</v>
      </c>
      <c r="B61" s="80">
        <v>3280</v>
      </c>
      <c r="C61" s="50"/>
      <c r="D61" s="52"/>
      <c r="E61" s="124"/>
      <c r="F61" s="162"/>
      <c r="G61" s="162"/>
    </row>
    <row r="62" spans="1:7" ht="28.5">
      <c r="A62" s="36" t="s">
        <v>86</v>
      </c>
      <c r="B62" s="84">
        <v>3295</v>
      </c>
      <c r="C62" s="232"/>
      <c r="D62" s="235" t="s">
        <v>317</v>
      </c>
      <c r="E62" s="202"/>
      <c r="F62" s="202"/>
      <c r="G62" s="202">
        <f t="shared" si="1"/>
        <v>0</v>
      </c>
    </row>
    <row r="63" spans="1:7" ht="15">
      <c r="A63" s="96" t="s">
        <v>87</v>
      </c>
      <c r="B63" s="97">
        <v>3400</v>
      </c>
      <c r="C63" s="98">
        <v>6</v>
      </c>
      <c r="D63" s="98">
        <f>D8-D24-D54</f>
        <v>156.62000000000262</v>
      </c>
      <c r="E63" s="203">
        <f>E48-E62</f>
        <v>58</v>
      </c>
      <c r="F63" s="203">
        <f t="shared" si="0"/>
        <v>-98.62000000000262</v>
      </c>
      <c r="G63" s="203">
        <f t="shared" si="1"/>
        <v>37.03230749584921</v>
      </c>
    </row>
    <row r="64" spans="1:7" ht="15">
      <c r="A64" s="33" t="s">
        <v>88</v>
      </c>
      <c r="B64" s="80">
        <v>3405</v>
      </c>
      <c r="C64" s="50">
        <v>1710</v>
      </c>
      <c r="D64" s="57">
        <v>1682</v>
      </c>
      <c r="E64" s="202">
        <f>C65</f>
        <v>1716</v>
      </c>
      <c r="F64" s="202">
        <f t="shared" si="0"/>
        <v>34</v>
      </c>
      <c r="G64" s="202">
        <f t="shared" si="1"/>
        <v>102.02140309155767</v>
      </c>
    </row>
    <row r="65" spans="1:7" ht="15">
      <c r="A65" s="33" t="s">
        <v>89</v>
      </c>
      <c r="B65" s="80">
        <v>3415</v>
      </c>
      <c r="C65" s="50">
        <v>1716</v>
      </c>
      <c r="D65" s="55">
        <f>D64+D8-D24-D54</f>
        <v>1838.6200000000026</v>
      </c>
      <c r="E65" s="55">
        <f>E64+E8-E24-E54</f>
        <v>1774</v>
      </c>
      <c r="F65" s="202">
        <f t="shared" si="0"/>
        <v>-64.62000000000262</v>
      </c>
      <c r="G65" s="202">
        <f t="shared" si="1"/>
        <v>96.48540753391116</v>
      </c>
    </row>
    <row r="66" spans="1:4" ht="15">
      <c r="A66" s="9"/>
      <c r="B66" s="10"/>
      <c r="C66" s="234"/>
      <c r="D66" s="11"/>
    </row>
    <row r="67" spans="1:4" ht="15">
      <c r="A67" s="9"/>
      <c r="B67" s="10"/>
      <c r="C67" s="74"/>
      <c r="D67" s="11"/>
    </row>
    <row r="68" spans="1:8" ht="15">
      <c r="A68" s="8" t="s">
        <v>178</v>
      </c>
      <c r="B68" s="285" t="s">
        <v>294</v>
      </c>
      <c r="C68" s="286"/>
      <c r="D68" s="286"/>
      <c r="E68" s="256"/>
      <c r="F68" s="256"/>
      <c r="G68" s="272"/>
      <c r="H68" s="183"/>
    </row>
    <row r="69" spans="1:8" ht="15">
      <c r="A69" s="8"/>
      <c r="B69" s="39"/>
      <c r="C69" s="40"/>
      <c r="D69" s="40"/>
      <c r="E69" s="183"/>
      <c r="F69" s="183"/>
      <c r="G69" s="183"/>
      <c r="H69" s="183"/>
    </row>
    <row r="70" spans="1:8" ht="18" customHeight="1">
      <c r="A70" s="8" t="s">
        <v>143</v>
      </c>
      <c r="B70" s="254" t="s">
        <v>289</v>
      </c>
      <c r="C70" s="255"/>
      <c r="D70" s="255"/>
      <c r="E70" s="256"/>
      <c r="F70" s="256"/>
      <c r="G70" s="183"/>
      <c r="H70" s="183"/>
    </row>
    <row r="71" spans="1:4" ht="15">
      <c r="A71" s="73"/>
      <c r="B71" s="73"/>
      <c r="D71" s="73"/>
    </row>
    <row r="72" spans="1:4" ht="15">
      <c r="A72" s="73"/>
      <c r="B72" s="73"/>
      <c r="D72" s="73"/>
    </row>
    <row r="73" spans="1:4" ht="15">
      <c r="A73" s="73"/>
      <c r="B73" s="73"/>
      <c r="C73" s="233"/>
      <c r="D73" s="73"/>
    </row>
    <row r="74" spans="1:4" ht="15">
      <c r="A74" s="73"/>
      <c r="B74" s="73"/>
      <c r="D74" s="73"/>
    </row>
    <row r="75" spans="1:4" ht="15">
      <c r="A75" s="73"/>
      <c r="B75" s="73"/>
      <c r="D75" s="73"/>
    </row>
    <row r="76" spans="1:4" ht="15">
      <c r="A76" s="73"/>
      <c r="B76" s="73"/>
      <c r="D76" s="73"/>
    </row>
    <row r="77" spans="1:4" ht="15">
      <c r="A77" s="73"/>
      <c r="B77" s="73"/>
      <c r="D77" s="73"/>
    </row>
  </sheetData>
  <sheetProtection/>
  <mergeCells count="12">
    <mergeCell ref="G4:G5"/>
    <mergeCell ref="A2:G2"/>
    <mergeCell ref="B70:F70"/>
    <mergeCell ref="B68:G68"/>
    <mergeCell ref="A7:D7"/>
    <mergeCell ref="A49:D49"/>
    <mergeCell ref="A4:A5"/>
    <mergeCell ref="B4:B5"/>
    <mergeCell ref="C4:C5"/>
    <mergeCell ref="D4:D5"/>
    <mergeCell ref="E4:E5"/>
    <mergeCell ref="F4:F5"/>
  </mergeCells>
  <printOptions/>
  <pageMargins left="1.1811023622047245" right="0.3937007874015748" top="0.7874015748031497" bottom="0.7874015748031497" header="0.31496062992125984" footer="0.31496062992125984"/>
  <pageSetup fitToHeight="2" fitToWidth="1" horizontalDpi="600" verticalDpi="600" orientation="portrait" paperSize="9" scale="9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32.421875" style="69" customWidth="1"/>
    <col min="2" max="2" width="6.140625" style="69" bestFit="1" customWidth="1"/>
    <col min="3" max="3" width="10.00390625" style="70" customWidth="1"/>
    <col min="4" max="5" width="10.00390625" style="69" customWidth="1"/>
    <col min="6" max="6" width="10.8515625" style="69" customWidth="1"/>
    <col min="7" max="7" width="10.421875" style="69" customWidth="1"/>
    <col min="8" max="16384" width="9.140625" style="69" customWidth="1"/>
  </cols>
  <sheetData>
    <row r="1" spans="3:9" ht="15">
      <c r="C1" s="69"/>
      <c r="G1" s="138" t="s">
        <v>133</v>
      </c>
      <c r="I1" s="71"/>
    </row>
    <row r="2" spans="1:9" ht="15.75">
      <c r="A2" s="281" t="s">
        <v>285</v>
      </c>
      <c r="B2" s="281"/>
      <c r="C2" s="281"/>
      <c r="D2" s="281"/>
      <c r="E2" s="281"/>
      <c r="F2" s="281"/>
      <c r="G2" s="281"/>
      <c r="I2" s="71"/>
    </row>
    <row r="3" spans="1:9" ht="15">
      <c r="A3" s="130"/>
      <c r="B3" s="139"/>
      <c r="C3" s="130"/>
      <c r="D3" s="130"/>
      <c r="E3" s="139"/>
      <c r="F3" s="130"/>
      <c r="G3" s="130"/>
      <c r="I3" s="71"/>
    </row>
    <row r="4" spans="1:7" ht="45">
      <c r="A4" s="4" t="s">
        <v>1</v>
      </c>
      <c r="B4" s="5" t="s">
        <v>2</v>
      </c>
      <c r="C4" s="135" t="s">
        <v>293</v>
      </c>
      <c r="D4" s="136" t="s">
        <v>295</v>
      </c>
      <c r="E4" s="163" t="s">
        <v>296</v>
      </c>
      <c r="F4" s="137" t="s">
        <v>277</v>
      </c>
      <c r="G4" s="137" t="s">
        <v>278</v>
      </c>
    </row>
    <row r="5" spans="1:7" s="31" customFormat="1" ht="12.75">
      <c r="A5" s="29">
        <v>1</v>
      </c>
      <c r="B5" s="14">
        <v>2</v>
      </c>
      <c r="C5" s="43">
        <v>3</v>
      </c>
      <c r="D5" s="14">
        <v>4</v>
      </c>
      <c r="E5" s="13">
        <v>6</v>
      </c>
      <c r="F5" s="14">
        <v>7</v>
      </c>
      <c r="G5" s="14">
        <v>8</v>
      </c>
    </row>
    <row r="6" spans="1:7" ht="28.5">
      <c r="A6" s="165" t="s">
        <v>95</v>
      </c>
      <c r="B6" s="164">
        <v>4000</v>
      </c>
      <c r="C6" s="192">
        <f>SUM(C7:C12)</f>
        <v>341</v>
      </c>
      <c r="D6" s="102">
        <v>7760</v>
      </c>
      <c r="E6" s="192">
        <f>SUM(E7:E12)</f>
        <v>3200</v>
      </c>
      <c r="F6" s="192">
        <f>E6-D6</f>
        <v>-4560</v>
      </c>
      <c r="G6" s="115">
        <f>E6/D6*100</f>
        <v>41.23711340206185</v>
      </c>
    </row>
    <row r="7" spans="1:7" ht="15">
      <c r="A7" s="3" t="s">
        <v>96</v>
      </c>
      <c r="B7" s="77" t="s">
        <v>97</v>
      </c>
      <c r="C7" s="193"/>
      <c r="D7" s="57"/>
      <c r="E7" s="193"/>
      <c r="F7" s="113">
        <f aca="true" t="shared" si="0" ref="F7:F12">E7-D7</f>
        <v>0</v>
      </c>
      <c r="G7" s="193"/>
    </row>
    <row r="8" spans="1:7" ht="30">
      <c r="A8" s="3" t="s">
        <v>98</v>
      </c>
      <c r="B8" s="76">
        <v>4020</v>
      </c>
      <c r="C8" s="194">
        <v>100</v>
      </c>
      <c r="D8" s="57">
        <v>3810</v>
      </c>
      <c r="E8" s="194">
        <v>3101</v>
      </c>
      <c r="F8" s="113">
        <f t="shared" si="0"/>
        <v>-709</v>
      </c>
      <c r="G8" s="113">
        <f>E8/D8*100</f>
        <v>81.39107611548556</v>
      </c>
    </row>
    <row r="9" spans="1:7" ht="30">
      <c r="A9" s="3" t="s">
        <v>99</v>
      </c>
      <c r="B9" s="77">
        <v>4030</v>
      </c>
      <c r="C9" s="194">
        <v>241</v>
      </c>
      <c r="D9" s="55"/>
      <c r="E9" s="194">
        <v>99</v>
      </c>
      <c r="F9" s="113">
        <f t="shared" si="0"/>
        <v>99</v>
      </c>
      <c r="G9" s="113"/>
    </row>
    <row r="10" spans="1:7" ht="30">
      <c r="A10" s="3" t="s">
        <v>100</v>
      </c>
      <c r="B10" s="76">
        <v>4040</v>
      </c>
      <c r="C10" s="113"/>
      <c r="D10" s="55"/>
      <c r="E10" s="113"/>
      <c r="F10" s="113">
        <f t="shared" si="0"/>
        <v>0</v>
      </c>
      <c r="G10" s="113"/>
    </row>
    <row r="11" spans="1:7" ht="45">
      <c r="A11" s="3" t="s">
        <v>101</v>
      </c>
      <c r="B11" s="77">
        <v>4050</v>
      </c>
      <c r="C11" s="113"/>
      <c r="D11" s="55">
        <v>3950</v>
      </c>
      <c r="E11" s="113"/>
      <c r="F11" s="113">
        <f t="shared" si="0"/>
        <v>-3950</v>
      </c>
      <c r="G11" s="113"/>
    </row>
    <row r="12" spans="1:7" ht="15">
      <c r="A12" s="3" t="s">
        <v>102</v>
      </c>
      <c r="B12" s="78">
        <v>4060</v>
      </c>
      <c r="C12" s="193"/>
      <c r="D12" s="58"/>
      <c r="E12" s="193"/>
      <c r="F12" s="113">
        <f t="shared" si="0"/>
        <v>0</v>
      </c>
      <c r="G12" s="193"/>
    </row>
    <row r="13" spans="1:4" ht="15">
      <c r="A13" s="73"/>
      <c r="B13" s="73"/>
      <c r="D13" s="73"/>
    </row>
    <row r="15" spans="1:8" ht="15">
      <c r="A15" s="8" t="s">
        <v>178</v>
      </c>
      <c r="B15" s="254" t="s">
        <v>294</v>
      </c>
      <c r="C15" s="255"/>
      <c r="D15" s="255"/>
      <c r="E15" s="256"/>
      <c r="F15" s="256"/>
      <c r="G15" s="272"/>
      <c r="H15" s="183"/>
    </row>
    <row r="16" spans="1:8" ht="15">
      <c r="A16" s="8"/>
      <c r="B16" s="39"/>
      <c r="C16" s="40"/>
      <c r="D16" s="40"/>
      <c r="E16" s="183"/>
      <c r="F16" s="183"/>
      <c r="G16" s="183"/>
      <c r="H16" s="183"/>
    </row>
    <row r="17" spans="1:8" ht="18" customHeight="1">
      <c r="A17" s="8" t="s">
        <v>143</v>
      </c>
      <c r="B17" s="254" t="s">
        <v>289</v>
      </c>
      <c r="C17" s="255"/>
      <c r="D17" s="255"/>
      <c r="E17" s="256"/>
      <c r="F17" s="256"/>
      <c r="G17" s="183"/>
      <c r="H17" s="183"/>
    </row>
  </sheetData>
  <sheetProtection/>
  <mergeCells count="3">
    <mergeCell ref="A2:G2"/>
    <mergeCell ref="B17:F17"/>
    <mergeCell ref="B15:G15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40.57421875" style="31" customWidth="1"/>
    <col min="2" max="2" width="6.140625" style="131" customWidth="1"/>
    <col min="3" max="3" width="11.00390625" style="38" customWidth="1"/>
    <col min="4" max="4" width="11.00390625" style="31" customWidth="1"/>
    <col min="5" max="5" width="9.7109375" style="132" customWidth="1"/>
    <col min="6" max="6" width="11.00390625" style="31" customWidth="1"/>
    <col min="7" max="7" width="10.421875" style="31" bestFit="1" customWidth="1"/>
    <col min="8" max="8" width="10.8515625" style="133" bestFit="1" customWidth="1"/>
    <col min="9" max="10" width="9.140625" style="133" customWidth="1"/>
    <col min="11" max="16384" width="9.140625" style="31" customWidth="1"/>
  </cols>
  <sheetData>
    <row r="1" spans="2:7" s="69" customFormat="1" ht="15">
      <c r="B1" s="70"/>
      <c r="F1" s="138"/>
      <c r="G1" s="138" t="s">
        <v>134</v>
      </c>
    </row>
    <row r="2" spans="1:6" s="69" customFormat="1" ht="15.75">
      <c r="A2" s="281" t="s">
        <v>188</v>
      </c>
      <c r="B2" s="281"/>
      <c r="C2" s="281"/>
      <c r="D2" s="281"/>
      <c r="E2" s="281"/>
      <c r="F2" s="281"/>
    </row>
    <row r="3" spans="1:6" s="69" customFormat="1" ht="15">
      <c r="A3" s="130"/>
      <c r="B3" s="141"/>
      <c r="C3" s="130"/>
      <c r="D3" s="139"/>
      <c r="E3" s="130"/>
      <c r="F3" s="130"/>
    </row>
    <row r="4" spans="1:7" ht="45">
      <c r="A4" s="12" t="s">
        <v>1</v>
      </c>
      <c r="B4" s="12" t="s">
        <v>66</v>
      </c>
      <c r="C4" s="137" t="s">
        <v>293</v>
      </c>
      <c r="D4" s="5" t="s">
        <v>286</v>
      </c>
      <c r="E4" s="5" t="s">
        <v>287</v>
      </c>
      <c r="F4" s="5" t="s">
        <v>277</v>
      </c>
      <c r="G4" s="5" t="s">
        <v>278</v>
      </c>
    </row>
    <row r="5" spans="1:10" s="131" customFormat="1" ht="12.75" customHeight="1">
      <c r="A5" s="13">
        <v>1</v>
      </c>
      <c r="B5" s="13">
        <v>2</v>
      </c>
      <c r="C5" s="166">
        <v>3</v>
      </c>
      <c r="D5" s="167">
        <v>4</v>
      </c>
      <c r="E5" s="149">
        <v>5</v>
      </c>
      <c r="F5" s="187">
        <v>6</v>
      </c>
      <c r="G5" s="187">
        <v>7</v>
      </c>
      <c r="H5" s="188"/>
      <c r="I5" s="188"/>
      <c r="J5" s="188"/>
    </row>
    <row r="6" spans="1:10" s="158" customFormat="1" ht="74.25" customHeight="1">
      <c r="A6" s="26" t="s">
        <v>288</v>
      </c>
      <c r="B6" s="128">
        <v>5010</v>
      </c>
      <c r="C6" s="189">
        <f>SUM(C7:C9)</f>
        <v>126</v>
      </c>
      <c r="D6" s="79">
        <f>D7+D8+D9</f>
        <v>129</v>
      </c>
      <c r="E6" s="189">
        <f>SUM(E7:E9)</f>
        <v>114.5</v>
      </c>
      <c r="F6" s="190">
        <f>E6-D6</f>
        <v>-14.5</v>
      </c>
      <c r="G6" s="190">
        <f>E6/D6*100</f>
        <v>88.75968992248062</v>
      </c>
      <c r="H6" s="169"/>
      <c r="I6" s="169"/>
      <c r="J6" s="168"/>
    </row>
    <row r="7" spans="1:7" ht="15" customHeight="1">
      <c r="A7" s="27" t="s">
        <v>154</v>
      </c>
      <c r="B7" s="12">
        <v>5011</v>
      </c>
      <c r="C7" s="177">
        <v>1</v>
      </c>
      <c r="D7" s="57">
        <v>1</v>
      </c>
      <c r="E7" s="177">
        <v>1</v>
      </c>
      <c r="F7" s="191">
        <f aca="true" t="shared" si="0" ref="F7:F25">E7-D7</f>
        <v>0</v>
      </c>
      <c r="G7" s="191">
        <f aca="true" t="shared" si="1" ref="G7:G25">E7/D7*100</f>
        <v>100</v>
      </c>
    </row>
    <row r="8" spans="1:7" ht="30">
      <c r="A8" s="27" t="s">
        <v>103</v>
      </c>
      <c r="B8" s="12">
        <v>5012</v>
      </c>
      <c r="C8" s="177">
        <v>18</v>
      </c>
      <c r="D8" s="60">
        <v>18.5</v>
      </c>
      <c r="E8" s="177">
        <v>18.5</v>
      </c>
      <c r="F8" s="191">
        <f t="shared" si="0"/>
        <v>0</v>
      </c>
      <c r="G8" s="191">
        <f t="shared" si="1"/>
        <v>100</v>
      </c>
    </row>
    <row r="9" spans="1:7" ht="15" customHeight="1">
      <c r="A9" s="27" t="s">
        <v>104</v>
      </c>
      <c r="B9" s="12">
        <v>5013</v>
      </c>
      <c r="C9" s="177">
        <v>107</v>
      </c>
      <c r="D9" s="60">
        <v>109.5</v>
      </c>
      <c r="E9" s="177">
        <v>95</v>
      </c>
      <c r="F9" s="242">
        <f t="shared" si="0"/>
        <v>-14.5</v>
      </c>
      <c r="G9" s="191">
        <f t="shared" si="1"/>
        <v>86.7579908675799</v>
      </c>
    </row>
    <row r="10" spans="1:10" s="158" customFormat="1" ht="29.25" customHeight="1">
      <c r="A10" s="26" t="s">
        <v>105</v>
      </c>
      <c r="B10" s="128">
        <v>5020</v>
      </c>
      <c r="C10" s="190">
        <f>SUM(C11:C13)</f>
        <v>15828</v>
      </c>
      <c r="D10" s="79">
        <f>D11+D12+D13</f>
        <v>17250</v>
      </c>
      <c r="E10" s="190">
        <f>SUM(E11:E13)</f>
        <v>15510</v>
      </c>
      <c r="F10" s="190">
        <f t="shared" si="0"/>
        <v>-1740</v>
      </c>
      <c r="G10" s="190">
        <f t="shared" si="1"/>
        <v>89.91304347826087</v>
      </c>
      <c r="H10" s="168"/>
      <c r="I10" s="168"/>
      <c r="J10" s="168"/>
    </row>
    <row r="11" spans="1:7" ht="15" customHeight="1">
      <c r="A11" s="27" t="s">
        <v>154</v>
      </c>
      <c r="B11" s="12">
        <v>5021</v>
      </c>
      <c r="C11" s="191">
        <v>524</v>
      </c>
      <c r="D11" s="57">
        <v>435</v>
      </c>
      <c r="E11" s="191">
        <v>558</v>
      </c>
      <c r="F11" s="191">
        <f t="shared" si="0"/>
        <v>123</v>
      </c>
      <c r="G11" s="191">
        <f t="shared" si="1"/>
        <v>128.2758620689655</v>
      </c>
    </row>
    <row r="12" spans="1:7" ht="30">
      <c r="A12" s="27" t="s">
        <v>103</v>
      </c>
      <c r="B12" s="12">
        <v>5022</v>
      </c>
      <c r="C12" s="191">
        <v>3148</v>
      </c>
      <c r="D12" s="57">
        <f>3812-157</f>
        <v>3655</v>
      </c>
      <c r="E12" s="191">
        <v>3420</v>
      </c>
      <c r="F12" s="191">
        <f t="shared" si="0"/>
        <v>-235</v>
      </c>
      <c r="G12" s="191">
        <f t="shared" si="1"/>
        <v>93.57045143638851</v>
      </c>
    </row>
    <row r="13" spans="1:8" ht="15" customHeight="1">
      <c r="A13" s="27" t="s">
        <v>104</v>
      </c>
      <c r="B13" s="12">
        <v>5023</v>
      </c>
      <c r="C13" s="191">
        <v>12156</v>
      </c>
      <c r="D13" s="57">
        <v>13160</v>
      </c>
      <c r="E13" s="191">
        <f>11524+8</f>
        <v>11532</v>
      </c>
      <c r="F13" s="191">
        <f t="shared" si="0"/>
        <v>-1628</v>
      </c>
      <c r="G13" s="191">
        <f t="shared" si="1"/>
        <v>87.629179331307</v>
      </c>
      <c r="H13" s="134"/>
    </row>
    <row r="14" spans="1:10" s="158" customFormat="1" ht="44.25" customHeight="1">
      <c r="A14" s="26" t="s">
        <v>132</v>
      </c>
      <c r="B14" s="128">
        <v>5030</v>
      </c>
      <c r="C14" s="190">
        <f aca="true" t="shared" si="2" ref="C14:E17">C10/C6/12*1000</f>
        <v>10468.253968253968</v>
      </c>
      <c r="D14" s="79">
        <f t="shared" si="2"/>
        <v>11143.41085271318</v>
      </c>
      <c r="E14" s="190">
        <f t="shared" si="2"/>
        <v>11288.209606986899</v>
      </c>
      <c r="F14" s="190">
        <f t="shared" si="0"/>
        <v>144.79875427371917</v>
      </c>
      <c r="G14" s="190">
        <f t="shared" si="1"/>
        <v>101.29941142965633</v>
      </c>
      <c r="H14" s="168"/>
      <c r="I14" s="184"/>
      <c r="J14" s="168"/>
    </row>
    <row r="15" spans="1:7" ht="15" customHeight="1">
      <c r="A15" s="27" t="s">
        <v>154</v>
      </c>
      <c r="B15" s="12">
        <v>5031</v>
      </c>
      <c r="C15" s="191">
        <f t="shared" si="2"/>
        <v>43666.666666666664</v>
      </c>
      <c r="D15" s="57">
        <f t="shared" si="2"/>
        <v>36250</v>
      </c>
      <c r="E15" s="57">
        <f t="shared" si="2"/>
        <v>46500</v>
      </c>
      <c r="F15" s="191">
        <f t="shared" si="0"/>
        <v>10250</v>
      </c>
      <c r="G15" s="191">
        <f t="shared" si="1"/>
        <v>128.2758620689655</v>
      </c>
    </row>
    <row r="16" spans="1:7" ht="15">
      <c r="A16" s="27" t="s">
        <v>103</v>
      </c>
      <c r="B16" s="12">
        <v>5032</v>
      </c>
      <c r="C16" s="191">
        <f t="shared" si="2"/>
        <v>14574.074074074075</v>
      </c>
      <c r="D16" s="57">
        <f t="shared" si="2"/>
        <v>16463.963963963964</v>
      </c>
      <c r="E16" s="57">
        <f t="shared" si="2"/>
        <v>15405.405405405405</v>
      </c>
      <c r="F16" s="191">
        <f t="shared" si="0"/>
        <v>-1058.5585585585595</v>
      </c>
      <c r="G16" s="191">
        <f t="shared" si="1"/>
        <v>93.5704514363885</v>
      </c>
    </row>
    <row r="17" spans="1:7" ht="15" customHeight="1">
      <c r="A17" s="27" t="s">
        <v>104</v>
      </c>
      <c r="B17" s="12">
        <v>5033</v>
      </c>
      <c r="C17" s="191">
        <f t="shared" si="2"/>
        <v>9467.289719626167</v>
      </c>
      <c r="D17" s="57">
        <f t="shared" si="2"/>
        <v>10015.220700152207</v>
      </c>
      <c r="E17" s="57">
        <f t="shared" si="2"/>
        <v>10115.789473684212</v>
      </c>
      <c r="F17" s="191">
        <f t="shared" si="0"/>
        <v>100.56877353200434</v>
      </c>
      <c r="G17" s="191">
        <f t="shared" si="1"/>
        <v>101.00415933450648</v>
      </c>
    </row>
    <row r="18" spans="1:10" s="158" customFormat="1" ht="30" customHeight="1">
      <c r="A18" s="26" t="s">
        <v>106</v>
      </c>
      <c r="B18" s="128">
        <v>5040</v>
      </c>
      <c r="C18" s="190">
        <f>SUM(C19:C21)</f>
        <v>19231</v>
      </c>
      <c r="D18" s="79">
        <f>D19+D20+D21</f>
        <v>21045</v>
      </c>
      <c r="E18" s="190">
        <f>SUM(E19:E21)</f>
        <v>18818</v>
      </c>
      <c r="F18" s="190">
        <f t="shared" si="0"/>
        <v>-2227</v>
      </c>
      <c r="G18" s="190">
        <f t="shared" si="1"/>
        <v>89.41791399382276</v>
      </c>
      <c r="H18" s="168"/>
      <c r="I18" s="168"/>
      <c r="J18" s="168"/>
    </row>
    <row r="19" spans="1:10" ht="15" customHeight="1">
      <c r="A19" s="27" t="s">
        <v>154</v>
      </c>
      <c r="B19" s="12">
        <v>5041</v>
      </c>
      <c r="C19" s="191">
        <v>639</v>
      </c>
      <c r="D19" s="57">
        <f>D11*0.22+D11</f>
        <v>530.7</v>
      </c>
      <c r="E19" s="191">
        <v>681</v>
      </c>
      <c r="F19" s="191">
        <f t="shared" si="0"/>
        <v>150.29999999999995</v>
      </c>
      <c r="G19" s="191">
        <f t="shared" si="1"/>
        <v>128.32108535895986</v>
      </c>
      <c r="I19" s="211"/>
      <c r="J19" s="211"/>
    </row>
    <row r="20" spans="1:7" ht="15">
      <c r="A20" s="27" t="s">
        <v>103</v>
      </c>
      <c r="B20" s="12">
        <v>5042</v>
      </c>
      <c r="C20" s="191">
        <v>3836</v>
      </c>
      <c r="D20" s="57">
        <f>D12*0.22+D12</f>
        <v>4459.1</v>
      </c>
      <c r="E20" s="191">
        <v>4170</v>
      </c>
      <c r="F20" s="191">
        <f t="shared" si="0"/>
        <v>-289.10000000000036</v>
      </c>
      <c r="G20" s="191">
        <f t="shared" si="1"/>
        <v>93.51662891614899</v>
      </c>
    </row>
    <row r="21" spans="1:7" ht="15" customHeight="1">
      <c r="A21" s="27" t="s">
        <v>104</v>
      </c>
      <c r="B21" s="12">
        <v>5043</v>
      </c>
      <c r="C21" s="191">
        <v>14756</v>
      </c>
      <c r="D21" s="57">
        <f>D13*0.22+D13</f>
        <v>16055.2</v>
      </c>
      <c r="E21" s="191">
        <f>13959+8</f>
        <v>13967</v>
      </c>
      <c r="F21" s="191">
        <f t="shared" si="0"/>
        <v>-2088.2000000000007</v>
      </c>
      <c r="G21" s="191">
        <f t="shared" si="1"/>
        <v>86.9936220040859</v>
      </c>
    </row>
    <row r="22" spans="1:10" s="158" customFormat="1" ht="45" customHeight="1">
      <c r="A22" s="26" t="s">
        <v>107</v>
      </c>
      <c r="B22" s="128">
        <v>5050</v>
      </c>
      <c r="C22" s="190">
        <f>C18/C6/12*1000</f>
        <v>12718.915343915343</v>
      </c>
      <c r="D22" s="79">
        <f>D14*122%</f>
        <v>13594.961240310078</v>
      </c>
      <c r="E22" s="190">
        <f>E18/E6/12*1000</f>
        <v>13695.778748180493</v>
      </c>
      <c r="F22" s="190">
        <f t="shared" si="0"/>
        <v>100.81750787041528</v>
      </c>
      <c r="G22" s="190">
        <f t="shared" si="1"/>
        <v>100.74157995810597</v>
      </c>
      <c r="H22" s="168"/>
      <c r="I22" s="168"/>
      <c r="J22" s="168"/>
    </row>
    <row r="23" spans="1:7" ht="15" customHeight="1">
      <c r="A23" s="27" t="s">
        <v>154</v>
      </c>
      <c r="B23" s="12">
        <v>5051</v>
      </c>
      <c r="C23" s="191">
        <f>C19/C7/12*1000</f>
        <v>53250</v>
      </c>
      <c r="D23" s="57">
        <f>D15*122%</f>
        <v>44225</v>
      </c>
      <c r="E23" s="191">
        <f>E19/E7/12*1000</f>
        <v>56750</v>
      </c>
      <c r="F23" s="191">
        <f t="shared" si="0"/>
        <v>12525</v>
      </c>
      <c r="G23" s="191">
        <f t="shared" si="1"/>
        <v>128.32108535895986</v>
      </c>
    </row>
    <row r="24" spans="1:7" ht="15">
      <c r="A24" s="27" t="s">
        <v>103</v>
      </c>
      <c r="B24" s="12">
        <v>5052</v>
      </c>
      <c r="C24" s="191">
        <f>C20/C8/12*1000</f>
        <v>17759.25925925926</v>
      </c>
      <c r="D24" s="57">
        <f>D16*122%</f>
        <v>20086.036036036036</v>
      </c>
      <c r="E24" s="191">
        <f>E20/E8/12*1000</f>
        <v>18783.783783783787</v>
      </c>
      <c r="F24" s="191">
        <f t="shared" si="0"/>
        <v>-1302.2522522522486</v>
      </c>
      <c r="G24" s="191">
        <f t="shared" si="1"/>
        <v>93.51662891614902</v>
      </c>
    </row>
    <row r="25" spans="1:7" ht="15" customHeight="1">
      <c r="A25" s="27" t="s">
        <v>104</v>
      </c>
      <c r="B25" s="12">
        <v>5053</v>
      </c>
      <c r="C25" s="191">
        <f>C21/C9/12*1000</f>
        <v>11492.21183800623</v>
      </c>
      <c r="D25" s="57">
        <f>D17*122%</f>
        <v>12218.569254185693</v>
      </c>
      <c r="E25" s="191">
        <f>E21/E9/12*1000</f>
        <v>12251.754385964914</v>
      </c>
      <c r="F25" s="191">
        <f t="shared" si="0"/>
        <v>33.18513177922068</v>
      </c>
      <c r="G25" s="191">
        <f t="shared" si="1"/>
        <v>100.27159588892007</v>
      </c>
    </row>
    <row r="26" spans="1:4" ht="15">
      <c r="A26" s="73"/>
      <c r="B26" s="129"/>
      <c r="C26" s="70"/>
      <c r="D26" s="73"/>
    </row>
    <row r="27" spans="1:4" ht="15">
      <c r="A27" s="73"/>
      <c r="B27" s="129"/>
      <c r="C27" s="70"/>
      <c r="D27" s="73"/>
    </row>
    <row r="28" spans="1:8" s="69" customFormat="1" ht="15">
      <c r="A28" s="8" t="s">
        <v>178</v>
      </c>
      <c r="B28" s="254" t="s">
        <v>294</v>
      </c>
      <c r="C28" s="255"/>
      <c r="D28" s="255"/>
      <c r="E28" s="256"/>
      <c r="F28" s="256"/>
      <c r="G28" s="272"/>
      <c r="H28" s="183"/>
    </row>
    <row r="29" spans="1:8" s="69" customFormat="1" ht="15">
      <c r="A29" s="8"/>
      <c r="B29" s="39"/>
      <c r="C29" s="40"/>
      <c r="D29" s="40"/>
      <c r="E29" s="183"/>
      <c r="F29" s="183"/>
      <c r="G29" s="183"/>
      <c r="H29" s="183"/>
    </row>
    <row r="30" spans="1:8" s="69" customFormat="1" ht="18" customHeight="1">
      <c r="A30" s="8" t="s">
        <v>143</v>
      </c>
      <c r="B30" s="254" t="s">
        <v>289</v>
      </c>
      <c r="C30" s="255"/>
      <c r="D30" s="255"/>
      <c r="E30" s="256"/>
      <c r="F30" s="256"/>
      <c r="G30" s="272"/>
      <c r="H30" s="183"/>
    </row>
  </sheetData>
  <sheetProtection/>
  <mergeCells count="3">
    <mergeCell ref="A2:F2"/>
    <mergeCell ref="B28:G28"/>
    <mergeCell ref="B30:G30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8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32.28125" style="0" customWidth="1"/>
    <col min="2" max="2" width="6.7109375" style="0" customWidth="1"/>
    <col min="4" max="4" width="10.00390625" style="241" customWidth="1"/>
    <col min="5" max="5" width="9.7109375" style="127" customWidth="1"/>
    <col min="6" max="6" width="11.28125" style="0" customWidth="1"/>
    <col min="7" max="7" width="10.57421875" style="0" customWidth="1"/>
  </cols>
  <sheetData>
    <row r="1" spans="1:7" s="121" customFormat="1" ht="15.75">
      <c r="A1" s="119"/>
      <c r="B1" s="120"/>
      <c r="C1" s="120"/>
      <c r="D1" s="119"/>
      <c r="E1" s="127"/>
      <c r="G1" s="138" t="s">
        <v>290</v>
      </c>
    </row>
    <row r="2" spans="1:7" s="121" customFormat="1" ht="36" customHeight="1">
      <c r="A2" s="298" t="s">
        <v>264</v>
      </c>
      <c r="B2" s="298"/>
      <c r="C2" s="298"/>
      <c r="D2" s="298"/>
      <c r="E2" s="299"/>
      <c r="F2" s="299"/>
      <c r="G2" s="299"/>
    </row>
    <row r="3" spans="1:5" s="121" customFormat="1" ht="7.5" customHeight="1">
      <c r="A3" s="1"/>
      <c r="B3" s="2"/>
      <c r="C3" s="1"/>
      <c r="D3" s="2"/>
      <c r="E3" s="127"/>
    </row>
    <row r="4" spans="1:7" s="121" customFormat="1" ht="15" customHeight="1">
      <c r="A4" s="283" t="s">
        <v>1</v>
      </c>
      <c r="B4" s="295" t="s">
        <v>2</v>
      </c>
      <c r="C4" s="270" t="s">
        <v>293</v>
      </c>
      <c r="D4" s="268" t="s">
        <v>295</v>
      </c>
      <c r="E4" s="257" t="s">
        <v>296</v>
      </c>
      <c r="F4" s="257" t="s">
        <v>277</v>
      </c>
      <c r="G4" s="257" t="s">
        <v>278</v>
      </c>
    </row>
    <row r="5" spans="1:7" s="121" customFormat="1" ht="70.5" customHeight="1">
      <c r="A5" s="266"/>
      <c r="B5" s="268"/>
      <c r="C5" s="296"/>
      <c r="D5" s="297"/>
      <c r="E5" s="296"/>
      <c r="F5" s="296"/>
      <c r="G5" s="296"/>
    </row>
    <row r="6" spans="1:7" s="197" customFormat="1" ht="12.75">
      <c r="A6" s="122">
        <v>1</v>
      </c>
      <c r="B6" s="123">
        <v>2</v>
      </c>
      <c r="C6" s="123">
        <v>3</v>
      </c>
      <c r="D6" s="123">
        <v>4</v>
      </c>
      <c r="E6" s="195">
        <v>5</v>
      </c>
      <c r="F6" s="196">
        <v>6</v>
      </c>
      <c r="G6" s="196">
        <v>7</v>
      </c>
    </row>
    <row r="7" spans="1:7" s="121" customFormat="1" ht="15">
      <c r="A7" s="300" t="s">
        <v>265</v>
      </c>
      <c r="B7" s="300"/>
      <c r="C7" s="300"/>
      <c r="D7" s="300"/>
      <c r="E7" s="170"/>
      <c r="F7" s="171"/>
      <c r="G7" s="171"/>
    </row>
    <row r="8" spans="1:7" ht="30">
      <c r="A8" s="172" t="s">
        <v>266</v>
      </c>
      <c r="B8" s="173">
        <v>6000</v>
      </c>
      <c r="C8" s="174">
        <v>1831</v>
      </c>
      <c r="D8" s="7">
        <v>550</v>
      </c>
      <c r="E8" s="149">
        <v>550</v>
      </c>
      <c r="F8" s="161">
        <f>E8-D8</f>
        <v>0</v>
      </c>
      <c r="G8" s="161">
        <f>E8/D8*100</f>
        <v>100</v>
      </c>
    </row>
    <row r="9" spans="1:7" ht="15">
      <c r="A9" s="301" t="s">
        <v>267</v>
      </c>
      <c r="B9" s="301"/>
      <c r="C9" s="301"/>
      <c r="D9" s="301"/>
      <c r="E9" s="177"/>
      <c r="F9" s="178"/>
      <c r="G9" s="178"/>
    </row>
    <row r="10" spans="1:7" ht="45">
      <c r="A10" s="172" t="s">
        <v>270</v>
      </c>
      <c r="B10" s="173">
        <v>6010</v>
      </c>
      <c r="C10" s="175"/>
      <c r="D10" s="238"/>
      <c r="E10" s="149"/>
      <c r="F10" s="161"/>
      <c r="G10" s="161"/>
    </row>
    <row r="11" spans="1:7" ht="30">
      <c r="A11" s="172" t="s">
        <v>268</v>
      </c>
      <c r="B11" s="176">
        <v>6020</v>
      </c>
      <c r="C11" s="175">
        <v>1831</v>
      </c>
      <c r="D11" s="7">
        <v>550</v>
      </c>
      <c r="E11" s="149">
        <v>550</v>
      </c>
      <c r="F11" s="161">
        <f>E11-D11</f>
        <v>0</v>
      </c>
      <c r="G11" s="161">
        <f>E11/D11*100</f>
        <v>100</v>
      </c>
    </row>
    <row r="12" spans="1:7" ht="30">
      <c r="A12" s="172" t="s">
        <v>276</v>
      </c>
      <c r="B12" s="176" t="s">
        <v>275</v>
      </c>
      <c r="C12" s="175">
        <v>1831</v>
      </c>
      <c r="D12" s="7">
        <v>536</v>
      </c>
      <c r="E12" s="149">
        <v>536</v>
      </c>
      <c r="F12" s="161">
        <f>E12-D12</f>
        <v>0</v>
      </c>
      <c r="G12" s="161">
        <f>E12/D12*100</f>
        <v>100</v>
      </c>
    </row>
    <row r="13" spans="1:7" ht="75">
      <c r="A13" s="237" t="s">
        <v>318</v>
      </c>
      <c r="B13" s="4" t="s">
        <v>319</v>
      </c>
      <c r="C13" s="149"/>
      <c r="D13" s="239">
        <f>D11-D12</f>
        <v>14</v>
      </c>
      <c r="E13" s="149">
        <v>14</v>
      </c>
      <c r="F13" s="161">
        <f>E13-D13</f>
        <v>0</v>
      </c>
      <c r="G13" s="161">
        <f>E13/D13*100</f>
        <v>100</v>
      </c>
    </row>
    <row r="14" spans="1:4" ht="15">
      <c r="A14" s="125"/>
      <c r="B14" s="125"/>
      <c r="C14" s="125"/>
      <c r="D14" s="240"/>
    </row>
    <row r="15" spans="1:4" ht="15">
      <c r="A15" s="125"/>
      <c r="B15" s="125"/>
      <c r="C15" s="125"/>
      <c r="D15" s="240"/>
    </row>
    <row r="16" spans="1:8" s="69" customFormat="1" ht="15">
      <c r="A16" s="8" t="s">
        <v>178</v>
      </c>
      <c r="B16" s="254" t="s">
        <v>294</v>
      </c>
      <c r="C16" s="255"/>
      <c r="D16" s="255"/>
      <c r="E16" s="256"/>
      <c r="F16" s="256"/>
      <c r="G16" s="272"/>
      <c r="H16" s="183"/>
    </row>
    <row r="17" spans="1:8" s="69" customFormat="1" ht="15">
      <c r="A17" s="8"/>
      <c r="B17" s="39"/>
      <c r="C17" s="40"/>
      <c r="D17" s="40"/>
      <c r="E17" s="183"/>
      <c r="F17" s="183"/>
      <c r="G17" s="183"/>
      <c r="H17" s="183"/>
    </row>
    <row r="18" spans="1:8" s="69" customFormat="1" ht="18" customHeight="1">
      <c r="A18" s="8" t="s">
        <v>143</v>
      </c>
      <c r="B18" s="254" t="s">
        <v>289</v>
      </c>
      <c r="C18" s="255"/>
      <c r="D18" s="255"/>
      <c r="E18" s="256"/>
      <c r="F18" s="256"/>
      <c r="G18" s="183"/>
      <c r="H18" s="183"/>
    </row>
  </sheetData>
  <sheetProtection/>
  <mergeCells count="12">
    <mergeCell ref="A2:G2"/>
    <mergeCell ref="A7:D7"/>
    <mergeCell ref="A9:D9"/>
    <mergeCell ref="E4:E5"/>
    <mergeCell ref="F4:F5"/>
    <mergeCell ref="B18:F18"/>
    <mergeCell ref="B16:G16"/>
    <mergeCell ref="A4:A5"/>
    <mergeCell ref="B4:B5"/>
    <mergeCell ref="C4:C5"/>
    <mergeCell ref="D4:D5"/>
    <mergeCell ref="G4:G5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Natalia Zinchuk</cp:lastModifiedBy>
  <cp:lastPrinted>2024-04-11T07:38:00Z</cp:lastPrinted>
  <dcterms:created xsi:type="dcterms:W3CDTF">1996-10-08T23:32:33Z</dcterms:created>
  <dcterms:modified xsi:type="dcterms:W3CDTF">2024-04-11T07:38:44Z</dcterms:modified>
  <cp:category/>
  <cp:version/>
  <cp:contentType/>
  <cp:contentStatus/>
</cp:coreProperties>
</file>